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Excel Programs\Income Tax\2025-26\New folder\"/>
    </mc:Choice>
  </mc:AlternateContent>
  <xr:revisionPtr revIDLastSave="0" documentId="13_ncr:1_{B00D99AE-D7FB-4D4F-9BA2-E5138BF5EE16}" xr6:coauthVersionLast="47" xr6:coauthVersionMax="47" xr10:uidLastSave="{00000000-0000-0000-0000-000000000000}"/>
  <bookViews>
    <workbookView xWindow="-120" yWindow="-120" windowWidth="20730" windowHeight="11160" tabRatio="743" xr2:uid="{00000000-000D-0000-FFFF-FFFF00000000}"/>
  </bookViews>
  <sheets>
    <sheet name="Master" sheetId="9" r:id="rId1"/>
    <sheet name="GA 55A" sheetId="2" r:id="rId2"/>
    <sheet name="Oth.Deductions" sheetId="10" r:id="rId3"/>
    <sheet name="HRA Cal." sheetId="11" r:id="rId4"/>
    <sheet name="Tax Calculaton Old" sheetId="5" r:id="rId5"/>
    <sheet name="Tax Calculaton New" sheetId="7" r:id="rId6"/>
  </sheets>
  <definedNames>
    <definedName name="_xlnm._FilterDatabase" localSheetId="1" hidden="1">'GA 55A'!$A$4:$Y$28</definedName>
    <definedName name="_xlnm.Print_Area" localSheetId="1">'GA 55A'!$A$1:$Y$31</definedName>
    <definedName name="_xlnm.Print_Area" localSheetId="5">'Tax Calculaton New'!$A$1:$M$57</definedName>
    <definedName name="_xlnm.Print_Area" localSheetId="4">'Tax Calculaton Old'!$A$1:$M$66</definedName>
    <definedName name="Tax_da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9" i="2" l="1"/>
  <c r="H47" i="7"/>
  <c r="M46" i="7"/>
  <c r="L54" i="7" l="1"/>
  <c r="L63" i="5"/>
  <c r="B11" i="11"/>
  <c r="M37" i="5" l="1"/>
  <c r="M38" i="5"/>
  <c r="M39" i="5"/>
  <c r="M40" i="5"/>
  <c r="M41" i="5"/>
  <c r="M42" i="5"/>
  <c r="M43" i="5"/>
  <c r="M44" i="5"/>
  <c r="M36" i="5"/>
  <c r="M33" i="5"/>
  <c r="L28" i="5"/>
  <c r="L27" i="5"/>
  <c r="L26" i="5"/>
  <c r="L25" i="5"/>
  <c r="L24" i="5"/>
  <c r="L23" i="5"/>
  <c r="L22" i="5"/>
  <c r="F30" i="5"/>
  <c r="F29" i="5"/>
  <c r="F28" i="5"/>
  <c r="F26" i="5"/>
  <c r="F25" i="5"/>
  <c r="F24" i="5"/>
  <c r="M17" i="5"/>
  <c r="F14" i="5"/>
  <c r="K12" i="5"/>
  <c r="L9" i="5"/>
  <c r="L8" i="5"/>
  <c r="M5" i="5"/>
  <c r="M3" i="5"/>
  <c r="J3" i="5"/>
  <c r="D3" i="5"/>
  <c r="A1" i="2"/>
  <c r="C4" i="2"/>
  <c r="I4" i="2"/>
  <c r="M4" i="2"/>
  <c r="R4" i="2"/>
  <c r="X4" i="2"/>
  <c r="C5" i="2"/>
  <c r="I5" i="2"/>
  <c r="M5" i="2"/>
  <c r="R5" i="2"/>
  <c r="X5" i="2"/>
  <c r="N7" i="2"/>
  <c r="B8" i="2"/>
  <c r="F8" i="2"/>
  <c r="F9" i="2" s="1"/>
  <c r="F10" i="2" s="1"/>
  <c r="F11" i="2" s="1"/>
  <c r="F12" i="2" s="1"/>
  <c r="F13" i="2" s="1"/>
  <c r="F14" i="2" s="1"/>
  <c r="H8" i="2"/>
  <c r="H9" i="2" s="1"/>
  <c r="H10" i="2" s="1"/>
  <c r="K8" i="2"/>
  <c r="K9" i="2" s="1"/>
  <c r="R8" i="2"/>
  <c r="AG8" i="2"/>
  <c r="G9" i="2"/>
  <c r="I9" i="2"/>
  <c r="L9" i="2"/>
  <c r="L10" i="2" s="1"/>
  <c r="M9" i="2"/>
  <c r="O9" i="2"/>
  <c r="Q28" i="2"/>
  <c r="R9" i="2"/>
  <c r="R10" i="2" s="1"/>
  <c r="R11" i="2" s="1"/>
  <c r="R12" i="2" s="1"/>
  <c r="R13" i="2" s="1"/>
  <c r="R14" i="2" s="1"/>
  <c r="R15" i="2" s="1"/>
  <c r="R16" i="2" s="1"/>
  <c r="R17" i="2" s="1"/>
  <c r="R18" i="2" s="1"/>
  <c r="R19" i="2" s="1"/>
  <c r="T9" i="2"/>
  <c r="V9" i="2"/>
  <c r="I10" i="2"/>
  <c r="M10" i="2"/>
  <c r="I11" i="2"/>
  <c r="M11" i="2"/>
  <c r="I12" i="2"/>
  <c r="I13" i="2" s="1"/>
  <c r="I14" i="2" s="1"/>
  <c r="I15" i="2" s="1"/>
  <c r="M12" i="2"/>
  <c r="M13" i="2" s="1"/>
  <c r="M14" i="2" s="1"/>
  <c r="M15" i="2" s="1"/>
  <c r="M16" i="2" s="1"/>
  <c r="M17" i="2" s="1"/>
  <c r="M18" i="2" s="1"/>
  <c r="M19" i="2" s="1"/>
  <c r="AB14" i="2"/>
  <c r="I16" i="2"/>
  <c r="I17" i="2" s="1"/>
  <c r="I18" i="2" s="1"/>
  <c r="S17" i="2"/>
  <c r="S28" i="2" s="1"/>
  <c r="E21" i="2"/>
  <c r="E28" i="2" s="1"/>
  <c r="W22" i="2"/>
  <c r="J24" i="2"/>
  <c r="X24" i="2" s="1"/>
  <c r="W24" i="2"/>
  <c r="J25" i="2"/>
  <c r="W25" i="2"/>
  <c r="X25" i="2"/>
  <c r="J26" i="2"/>
  <c r="W26" i="2"/>
  <c r="X26" i="2"/>
  <c r="W27" i="2"/>
  <c r="U28" i="2"/>
  <c r="V10" i="2" l="1"/>
  <c r="V11" i="2" s="1"/>
  <c r="V12" i="2" s="1"/>
  <c r="V13" i="2" s="1"/>
  <c r="V14" i="2" s="1"/>
  <c r="V15" i="2" s="1"/>
  <c r="V16" i="2" s="1"/>
  <c r="V17" i="2" s="1"/>
  <c r="V18" i="2" s="1"/>
  <c r="V19" i="2" s="1"/>
  <c r="C8" i="2"/>
  <c r="AI8" i="2" s="1"/>
  <c r="D8" i="2"/>
  <c r="N8" i="2"/>
  <c r="F15" i="2"/>
  <c r="F16" i="2" s="1"/>
  <c r="F17" i="2" s="1"/>
  <c r="F18" i="2" s="1"/>
  <c r="F19" i="2" s="1"/>
  <c r="B9" i="2"/>
  <c r="P8" i="2"/>
  <c r="I19" i="2"/>
  <c r="I28" i="2"/>
  <c r="L11" i="2"/>
  <c r="L12" i="2" s="1"/>
  <c r="L13" i="2" s="1"/>
  <c r="L14" i="2" s="1"/>
  <c r="L15" i="2" s="1"/>
  <c r="L16" i="2" s="1"/>
  <c r="L17" i="2" s="1"/>
  <c r="L18" i="2" s="1"/>
  <c r="L19" i="2" s="1"/>
  <c r="K10" i="2"/>
  <c r="J21" i="2"/>
  <c r="N21" i="2"/>
  <c r="W21" i="2" s="1"/>
  <c r="O10" i="2"/>
  <c r="O11" i="2" s="1"/>
  <c r="O12" i="2" s="1"/>
  <c r="O13" i="2" s="1"/>
  <c r="O14" i="2" s="1"/>
  <c r="O15" i="2" s="1"/>
  <c r="O16" i="2" s="1"/>
  <c r="O17" i="2" s="1"/>
  <c r="O18" i="2" s="1"/>
  <c r="O19" i="2" s="1"/>
  <c r="O28" i="2" s="1"/>
  <c r="M28" i="2"/>
  <c r="H11" i="2"/>
  <c r="H12" i="2" s="1"/>
  <c r="H13" i="2" s="1"/>
  <c r="H14" i="2" s="1"/>
  <c r="H15" i="2" s="1"/>
  <c r="H16" i="2" s="1"/>
  <c r="H17" i="2" s="1"/>
  <c r="H18" i="2" s="1"/>
  <c r="H19" i="2" s="1"/>
  <c r="T10" i="2"/>
  <c r="T11" i="2" s="1"/>
  <c r="T12" i="2" s="1"/>
  <c r="T13" i="2" s="1"/>
  <c r="T14" i="2" s="1"/>
  <c r="T15" i="2" s="1"/>
  <c r="T16" i="2" s="1"/>
  <c r="T17" i="2" s="1"/>
  <c r="T18" i="2" s="1"/>
  <c r="T19" i="2" s="1"/>
  <c r="R28" i="2"/>
  <c r="F22" i="5" s="1"/>
  <c r="G10" i="2"/>
  <c r="G11" i="2" s="1"/>
  <c r="G12" i="2" s="1"/>
  <c r="G13" i="2" s="1"/>
  <c r="G14" i="2" s="1"/>
  <c r="G15" i="2" s="1"/>
  <c r="G16" i="2" s="1"/>
  <c r="G17" i="2" s="1"/>
  <c r="G18" i="2" s="1"/>
  <c r="G19" i="2" s="1"/>
  <c r="V28" i="2" l="1"/>
  <c r="F8" i="11" s="1"/>
  <c r="C20" i="2"/>
  <c r="D9" i="2"/>
  <c r="C9" i="2"/>
  <c r="AI9" i="2" s="1"/>
  <c r="B10" i="2"/>
  <c r="W8" i="2"/>
  <c r="F28" i="2"/>
  <c r="J8" i="2"/>
  <c r="N9" i="2"/>
  <c r="AG10" i="2"/>
  <c r="P9" i="2"/>
  <c r="L28" i="2"/>
  <c r="AG9" i="2"/>
  <c r="T28" i="2"/>
  <c r="X21" i="2"/>
  <c r="K11" i="2"/>
  <c r="G28" i="2"/>
  <c r="H28" i="2"/>
  <c r="K12" i="7"/>
  <c r="D10" i="2" l="1"/>
  <c r="C10" i="2"/>
  <c r="AI10" i="2" s="1"/>
  <c r="J20" i="2"/>
  <c r="X8" i="2"/>
  <c r="J9" i="2"/>
  <c r="P10" i="2"/>
  <c r="N10" i="2"/>
  <c r="B11" i="2"/>
  <c r="P11" i="2" s="1"/>
  <c r="W9" i="2"/>
  <c r="K12" i="2"/>
  <c r="M21" i="7"/>
  <c r="N20" i="2" l="1"/>
  <c r="W20" i="2" s="1"/>
  <c r="D11" i="2"/>
  <c r="C11" i="2"/>
  <c r="AI11" i="2" s="1"/>
  <c r="J10" i="2"/>
  <c r="B12" i="2"/>
  <c r="W10" i="2"/>
  <c r="X9" i="2"/>
  <c r="N11" i="2"/>
  <c r="W11" i="2" s="1"/>
  <c r="X20" i="2"/>
  <c r="AG11" i="2"/>
  <c r="K13" i="2"/>
  <c r="C23" i="5"/>
  <c r="J11" i="2" l="1"/>
  <c r="D12" i="2"/>
  <c r="C12" i="2"/>
  <c r="AI12" i="2" s="1"/>
  <c r="X10" i="2"/>
  <c r="AG12" i="2"/>
  <c r="B13" i="2"/>
  <c r="B14" i="2" s="1"/>
  <c r="N12" i="2"/>
  <c r="P12" i="2"/>
  <c r="AJ12" i="2"/>
  <c r="C27" i="2" s="1"/>
  <c r="J27" i="2" s="1"/>
  <c r="X27" i="2" s="1"/>
  <c r="B22" i="2"/>
  <c r="C22" i="2" s="1"/>
  <c r="J22" i="2" s="1"/>
  <c r="X22" i="2" s="1"/>
  <c r="N13" i="2"/>
  <c r="K14" i="2"/>
  <c r="X11" i="2"/>
  <c r="A1" i="5"/>
  <c r="A1" i="7" s="1"/>
  <c r="AG13" i="2" l="1"/>
  <c r="AJ13" i="2" s="1"/>
  <c r="W12" i="2"/>
  <c r="J12" i="2"/>
  <c r="D14" i="2"/>
  <c r="C14" i="2"/>
  <c r="P13" i="2"/>
  <c r="D13" i="2"/>
  <c r="C13" i="2"/>
  <c r="AI13" i="2" s="1"/>
  <c r="C23" i="2"/>
  <c r="W13" i="2"/>
  <c r="AG14" i="2"/>
  <c r="AJ14" i="2" s="1"/>
  <c r="P14" i="2"/>
  <c r="B15" i="2"/>
  <c r="N14" i="2"/>
  <c r="K15" i="2"/>
  <c r="M3" i="7"/>
  <c r="J3" i="7"/>
  <c r="D3" i="7"/>
  <c r="X12" i="2" l="1"/>
  <c r="J13" i="2"/>
  <c r="X13" i="2" s="1"/>
  <c r="C15" i="2"/>
  <c r="AI15" i="2" s="1"/>
  <c r="D15" i="2"/>
  <c r="W14" i="2"/>
  <c r="J14" i="2"/>
  <c r="K16" i="2"/>
  <c r="P15" i="2"/>
  <c r="N15" i="2"/>
  <c r="B16" i="2"/>
  <c r="AG15" i="2"/>
  <c r="AJ15" i="2" s="1"/>
  <c r="AI14" i="2"/>
  <c r="J54" i="7"/>
  <c r="H54" i="7"/>
  <c r="F54" i="7"/>
  <c r="F63" i="5"/>
  <c r="D54" i="7"/>
  <c r="D63" i="5"/>
  <c r="M22" i="7"/>
  <c r="M17" i="7"/>
  <c r="F27" i="5"/>
  <c r="C16" i="2" l="1"/>
  <c r="AI16" i="2" s="1"/>
  <c r="D16" i="2"/>
  <c r="X14" i="2"/>
  <c r="W15" i="2"/>
  <c r="N16" i="2"/>
  <c r="AG16" i="2"/>
  <c r="P16" i="2"/>
  <c r="B17" i="2"/>
  <c r="N23" i="2"/>
  <c r="J23" i="2"/>
  <c r="K17" i="2"/>
  <c r="J15" i="2"/>
  <c r="M54" i="7"/>
  <c r="H63" i="5"/>
  <c r="D17" i="2" l="1"/>
  <c r="C17" i="2"/>
  <c r="W16" i="2"/>
  <c r="X15" i="2"/>
  <c r="K18" i="2"/>
  <c r="B18" i="2"/>
  <c r="N17" i="2"/>
  <c r="P17" i="2"/>
  <c r="AG17" i="2"/>
  <c r="AI17" i="2"/>
  <c r="W23" i="2"/>
  <c r="J16" i="2"/>
  <c r="J63" i="5"/>
  <c r="W17" i="2" l="1"/>
  <c r="D18" i="2"/>
  <c r="C18" i="2"/>
  <c r="AI18" i="2" s="1"/>
  <c r="X16" i="2"/>
  <c r="K19" i="2"/>
  <c r="P18" i="2"/>
  <c r="B19" i="2"/>
  <c r="N18" i="2"/>
  <c r="AG18" i="2"/>
  <c r="X23" i="2"/>
  <c r="J17" i="2"/>
  <c r="M33" i="7"/>
  <c r="D14" i="5"/>
  <c r="J14" i="7" s="1"/>
  <c r="M15" i="7" s="1"/>
  <c r="D19" i="2" l="1"/>
  <c r="C19" i="2"/>
  <c r="C4" i="11"/>
  <c r="W18" i="2"/>
  <c r="J18" i="2"/>
  <c r="N19" i="2"/>
  <c r="N28" i="2" s="1"/>
  <c r="AG19" i="2"/>
  <c r="P19" i="2"/>
  <c r="P28" i="2" s="1"/>
  <c r="B28" i="2"/>
  <c r="K28" i="2"/>
  <c r="X17" i="2"/>
  <c r="J14" i="5"/>
  <c r="M15" i="5" s="1"/>
  <c r="C5" i="11" l="1"/>
  <c r="C11" i="11" s="1"/>
  <c r="M5" i="11" s="1"/>
  <c r="L4" i="11"/>
  <c r="D28" i="2"/>
  <c r="C6" i="11"/>
  <c r="M4" i="11" s="1"/>
  <c r="X18" i="2"/>
  <c r="AI19" i="2"/>
  <c r="C28" i="2"/>
  <c r="J19" i="2"/>
  <c r="W19" i="2"/>
  <c r="W28" i="2" s="1"/>
  <c r="M63" i="5"/>
  <c r="F10" i="11" l="1"/>
  <c r="F11" i="11" s="1"/>
  <c r="L6" i="11"/>
  <c r="L5" i="11"/>
  <c r="M6" i="11" s="1"/>
  <c r="C10" i="11" s="1"/>
  <c r="X19" i="2"/>
  <c r="X28" i="2" s="1"/>
  <c r="J28" i="2"/>
  <c r="M4" i="5" s="1"/>
  <c r="M4" i="7" s="1"/>
  <c r="F21" i="5"/>
  <c r="F4" i="11" l="1"/>
  <c r="M45" i="5"/>
  <c r="F23" i="5" l="1"/>
  <c r="L29" i="5" s="1"/>
  <c r="M31" i="5" s="1"/>
  <c r="F9" i="11" s="1"/>
  <c r="M23" i="7"/>
  <c r="M34" i="7" s="1"/>
  <c r="M6" i="5"/>
  <c r="L7" i="5" s="1"/>
  <c r="M10" i="5" l="1"/>
  <c r="M11" i="5" s="1"/>
  <c r="M16" i="5" s="1"/>
  <c r="M18" i="5" s="1"/>
  <c r="M34" i="5"/>
  <c r="M46" i="5" s="1"/>
  <c r="M6" i="7"/>
  <c r="L7" i="7" s="1"/>
  <c r="M47" i="5" l="1"/>
  <c r="M10" i="7"/>
  <c r="M11" i="7" s="1"/>
  <c r="M16" i="7" s="1"/>
  <c r="M18" i="7" s="1"/>
  <c r="M35" i="7" s="1"/>
  <c r="M36" i="7" s="1"/>
  <c r="M45" i="7" l="1"/>
  <c r="M44" i="7"/>
  <c r="M40" i="7"/>
  <c r="M41" i="7"/>
  <c r="M43" i="7"/>
  <c r="M42" i="7"/>
  <c r="M48" i="5"/>
  <c r="T48" i="7"/>
  <c r="X48" i="7" s="1"/>
  <c r="M54" i="5" l="1"/>
  <c r="M52" i="5"/>
  <c r="M53" i="5"/>
  <c r="T49" i="7" l="1"/>
  <c r="X49" i="7" s="1"/>
  <c r="X50" i="7" s="1"/>
  <c r="M47" i="7" s="1"/>
  <c r="M55" i="5"/>
  <c r="M56" i="5" l="1"/>
  <c r="M57" i="5" s="1"/>
  <c r="M58" i="5" s="1"/>
  <c r="M59" i="5" s="1"/>
  <c r="M61" i="5" s="1"/>
  <c r="L47" i="7"/>
  <c r="X52" i="7"/>
  <c r="M48" i="7"/>
  <c r="F6" i="11" l="1"/>
  <c r="A64" i="5"/>
  <c r="M64" i="5"/>
  <c r="M49" i="7"/>
  <c r="T50" i="7" s="1"/>
  <c r="T52" i="7" s="1"/>
  <c r="M50" i="7" l="1"/>
  <c r="M52" i="7" s="1"/>
  <c r="M55" i="7" l="1"/>
  <c r="F7" i="11"/>
  <c r="A55" i="7"/>
  <c r="M7" i="11"/>
  <c r="C12" i="11" s="1"/>
  <c r="C13" i="11" s="1"/>
</calcChain>
</file>

<file path=xl/sharedStrings.xml><?xml version="1.0" encoding="utf-8"?>
<sst xmlns="http://schemas.openxmlformats.org/spreadsheetml/2006/main" count="340" uniqueCount="238">
  <si>
    <t>नाम कर्मचारी-</t>
  </si>
  <si>
    <t>पद-</t>
  </si>
  <si>
    <t>लेवल-</t>
  </si>
  <si>
    <t>Employee ID-</t>
  </si>
  <si>
    <t>पैन नं.-</t>
  </si>
  <si>
    <t>SI No.-</t>
  </si>
  <si>
    <t>बैंक खाता सं.-</t>
  </si>
  <si>
    <t>Month &amp; Year</t>
  </si>
  <si>
    <t>Basic Pay</t>
  </si>
  <si>
    <t>DA</t>
  </si>
  <si>
    <t>HRA</t>
  </si>
  <si>
    <t>Washing Allow.</t>
  </si>
  <si>
    <t>Handicaped Allowance</t>
  </si>
  <si>
    <t>Gross Salary</t>
  </si>
  <si>
    <t>SIP</t>
  </si>
  <si>
    <t>GPF Loan</t>
  </si>
  <si>
    <t>GIS</t>
  </si>
  <si>
    <t>LIC</t>
  </si>
  <si>
    <t>GPF 2004</t>
  </si>
  <si>
    <t>ITAX</t>
  </si>
  <si>
    <t>Total Deduction</t>
  </si>
  <si>
    <t>NET Payment</t>
  </si>
  <si>
    <t>Bill No./ Dte</t>
  </si>
  <si>
    <t>Bonus</t>
  </si>
  <si>
    <t>Surrender</t>
  </si>
  <si>
    <t>Fixation Arrear</t>
  </si>
  <si>
    <t>Total</t>
  </si>
  <si>
    <t>Signature Of Employee</t>
  </si>
  <si>
    <t>Signature Of DDO</t>
  </si>
  <si>
    <t>TAN No.</t>
  </si>
  <si>
    <t>CCA Allowance</t>
  </si>
  <si>
    <t>SI Loan</t>
  </si>
  <si>
    <t>Hitkari Nidhi</t>
  </si>
  <si>
    <t>Salary Arrear1</t>
  </si>
  <si>
    <t>Salary Arrear2</t>
  </si>
  <si>
    <t>नाम कर्मचारी</t>
  </si>
  <si>
    <t>पद</t>
  </si>
  <si>
    <t>पैन नं.</t>
  </si>
  <si>
    <t>गृह किराया, धारा 10 (13-A) के अंतर्गत एवं धारा 10 (14) के अंतर्गत अन्य भत्ते जो कर मुक्त है -</t>
  </si>
  <si>
    <t>शेष (2-3)</t>
  </si>
  <si>
    <t>(I)Standard Deduction Maxium 50000 धारा 16 (i a)</t>
  </si>
  <si>
    <t>(II)मनोरंजन भत्ता धारा 16 (ii) के अंतर्गत Maxium 5000</t>
  </si>
  <si>
    <t>(III)वयवसाय कर धारा 16 (iii) के अंतर्गत</t>
  </si>
  <si>
    <t>योग 5</t>
  </si>
  <si>
    <t>शेष (4-5)</t>
  </si>
  <si>
    <t>(अ) गृह सम्पति से आय (1) स्वयं के उपयोग में शून्य</t>
  </si>
  <si>
    <t>(2) प्राप्त किराया रूपये</t>
  </si>
  <si>
    <t>(ब) घटाइए</t>
  </si>
  <si>
    <t>किराये का 30%</t>
  </si>
  <si>
    <t>गृह ऋण पर ब्याज</t>
  </si>
  <si>
    <t>गृह कर</t>
  </si>
  <si>
    <t>योग 7 (ब)</t>
  </si>
  <si>
    <t>शेष - / + (7(अ) एवं 7 (ब) का)</t>
  </si>
  <si>
    <t>कुल शेष - / + (6 एवं 7)</t>
  </si>
  <si>
    <t>अन्य आय</t>
  </si>
  <si>
    <t>सकल आय (योग 8+9)</t>
  </si>
  <si>
    <t>कटौतिया घटाइए - धारा US 80C, 80CCC, 80CCD(1)</t>
  </si>
  <si>
    <t>(A) अधिकतम सीमा 150000 (धारा 80CCE), धारा 80CCD(2) के अलावा</t>
  </si>
  <si>
    <t>राज्य बीमा (SI)</t>
  </si>
  <si>
    <t>EPEF (80CCD1)</t>
  </si>
  <si>
    <t>पेंशन प्लान हेतु अंशदान धारा (80CCC)</t>
  </si>
  <si>
    <t>राष्ट्रीय बचत पत्र पर ब्याज</t>
  </si>
  <si>
    <t>राष्ट्रीय बचत पत्र (NSC)</t>
  </si>
  <si>
    <t>ट्यूशन फीस</t>
  </si>
  <si>
    <t>लोक भविष्य निधि (PPF)</t>
  </si>
  <si>
    <t>इक्विटी लिंक सेविंग स्कीम</t>
  </si>
  <si>
    <t>राष्ट्रीय बचत स्कीम (NSS)</t>
  </si>
  <si>
    <t>Defferred Annuty</t>
  </si>
  <si>
    <t>PLI</t>
  </si>
  <si>
    <t>ULIP / वार्षिक प्लान</t>
  </si>
  <si>
    <t>धारा 80C के अंतर्गत अन्य जमा राशि</t>
  </si>
  <si>
    <t>Home Loan Premium</t>
  </si>
  <si>
    <t>योग 1 से 18 तक</t>
  </si>
  <si>
    <t>सुकन्या योजना में जमा</t>
  </si>
  <si>
    <t xml:space="preserve">अधिकतम कटौती राशि रूपए 150000 तक </t>
  </si>
  <si>
    <t>(B)</t>
  </si>
  <si>
    <t>घटाइए धारा 80CCD (2) नियोक्ता द्वारा पेंशन अंशदान की राशि (अधिकतम वेतन का 10%)</t>
  </si>
  <si>
    <t>(C)</t>
  </si>
  <si>
    <t>घटाइए धारा 80CCD (1B)नवीन पेंशन योजना में अतिरिक्त अंशदान (अधिकतम रूपए 50000)</t>
  </si>
  <si>
    <t>योग 11 (A+B+C)</t>
  </si>
  <si>
    <t>अन्य कटौतिया</t>
  </si>
  <si>
    <t>धारा 80DD विकलांग आश्रितों के चिकित्सा उपचार (अधिकतम 75,000 तथा 80% या अधिक विकलांगता 125,000)</t>
  </si>
  <si>
    <t>धारा 80 DB विशिष्ट रोंगों के उपचार हेतु कटौती (अधिकतम रू 40,000, सीनियर सिटीजन हेतु रू 100,000)</t>
  </si>
  <si>
    <t>धारा 80 E उच्च शिक्षा हेतु लिए ऋण का ब्याज</t>
  </si>
  <si>
    <t>धारा 80 G धर्मार्थ संस्थाओं आदि को दिये दान ( क श्रेणी में 100 प्रतिशत एवं ख श्रेणी में 50 प्रतिशत)</t>
  </si>
  <si>
    <t>धारा 80 TTA बचत खाते पर ब्याज की अधिकतम छूट रू. 10,000  U/S 194(IA)</t>
  </si>
  <si>
    <t>धारा 80 TTB वरिष्ठ नागरिकों को सभी प्रकार के ब्याज पर अधिकतम छूट-  50000 रू.  U/S 194(A)</t>
  </si>
  <si>
    <t>धारा 80 GGA अनुमोदित वैज्ञानिक, सामाजिक, ग्रामीण विकास आदि हेतु दिया गया दान</t>
  </si>
  <si>
    <t>योग 12 (1 to 9)</t>
  </si>
  <si>
    <t>कुल कटौती (11+12)</t>
  </si>
  <si>
    <t>कर योग्य आय (10-13)</t>
  </si>
  <si>
    <t xml:space="preserve">कुल आय की राशि को सम्पूर्ण करना (दस के गुणक में) धारा 288 A </t>
  </si>
  <si>
    <t>आयकर की गणना</t>
  </si>
  <si>
    <t xml:space="preserve">एक व्यक्ति कर दाता </t>
  </si>
  <si>
    <t>वरिष्ठ नागरिक (60 से 80 वर्ष)</t>
  </si>
  <si>
    <t>80 वर्ष या अधिक आयु</t>
  </si>
  <si>
    <t>250000 तक</t>
  </si>
  <si>
    <t>NIL</t>
  </si>
  <si>
    <t>300000 तक</t>
  </si>
  <si>
    <t>300001 से 50000 तक</t>
  </si>
  <si>
    <t>500001 से 1000000 तक</t>
  </si>
  <si>
    <t>योग आयकर</t>
  </si>
  <si>
    <t>छूट घारा 87(A) (2.50 लाख से 5 लाख तक की कर योग्य आय पर आयकर की छूट अधिकतम रू. 12500 तक)</t>
  </si>
  <si>
    <t>शेष आयकर (1-2)</t>
  </si>
  <si>
    <t>शिक्षा उपकर 2% एवं उच्च शिक्षा के लिए अधिभार 2%  (योग 4%)</t>
  </si>
  <si>
    <t>कुल आयकर (3+4)</t>
  </si>
  <si>
    <t>घटाइये :- राहत धारा 89 के तहत</t>
  </si>
  <si>
    <t>कुल शेष आयकर</t>
  </si>
  <si>
    <t>आयकर कटौती का विवरण</t>
  </si>
  <si>
    <t>कुल टैक्स कटौती (योग कॉलम 19)</t>
  </si>
  <si>
    <t>(A) धारा  US 80C, 80CCC, 80CCD(1) अधिकतम कटौती की राशि</t>
  </si>
  <si>
    <t>(B) धारा 80CCD(2) नियोक्ता द्वारा पेंशन अंशदान की राशि (अधिकतम वेतन का 10% पृथक से छूट)</t>
  </si>
  <si>
    <t>(C) धारा 80CCD(1B) नवीन पेंशन योजना में अतिरिक्त अंशदान (अधिकतम रू. 50,000)</t>
  </si>
  <si>
    <t>धारा 80DD विकलांग आश्रितों के चिकित्सा उपचार (अधिकतम 75,000 तथा 80ः या अधिक विकलांगता 125,000)</t>
  </si>
  <si>
    <t>250001 से 500000 तक</t>
  </si>
  <si>
    <t>Rebate Under Section 80C, 80CCC, 80CCD(1)</t>
  </si>
  <si>
    <t>Other Allowance</t>
  </si>
  <si>
    <t>Lecturer</t>
  </si>
  <si>
    <t>YES</t>
  </si>
  <si>
    <t>Prepared By Ashwini Kumar : 9166023711 www.ashwinisharma.com</t>
  </si>
  <si>
    <r>
      <t xml:space="preserve">धारा 80 D, चिकित्सा बीमा प्रीमियम </t>
    </r>
    <r>
      <rPr>
        <sz val="8"/>
        <color rgb="FF002060"/>
        <rFont val="Calibri"/>
        <family val="2"/>
        <scheme val="minor"/>
      </rPr>
      <t>(स्वयं,पति/पत्नी व बच्चों के लिए रू 25000, माता-पिता के लिए रू 25000,सीनियर सिटीजन रू 50000)</t>
    </r>
  </si>
  <si>
    <r>
      <t xml:space="preserve">धारा 80 U स्थाई रूप से शारीरिक असमर्थतता की दशा में </t>
    </r>
    <r>
      <rPr>
        <sz val="9"/>
        <color rgb="FF002060"/>
        <rFont val="Calibri"/>
        <family val="2"/>
        <scheme val="minor"/>
      </rPr>
      <t>(अधिकतम 75,000 तथा  अधिनियम 1995के अनुसार 125,000)</t>
    </r>
  </si>
  <si>
    <t>Sureender Month</t>
  </si>
  <si>
    <t>Surrender DA Arrear</t>
  </si>
  <si>
    <t>GPF/GPF2004 No.-</t>
  </si>
  <si>
    <t>टी.डी.एस. और माहवार वेतन के अलावा</t>
  </si>
  <si>
    <t>HRA RATE</t>
  </si>
  <si>
    <t>Office of the Principal</t>
  </si>
  <si>
    <t>Mobile No. -</t>
  </si>
  <si>
    <t>NO</t>
  </si>
  <si>
    <t>Bonus Month</t>
  </si>
  <si>
    <t>L-12</t>
  </si>
  <si>
    <t>RGHS</t>
  </si>
  <si>
    <t>SI Loan Interest</t>
  </si>
  <si>
    <t>1000000 से अधिक</t>
  </si>
  <si>
    <t>difference</t>
  </si>
  <si>
    <t>net taxable income</t>
  </si>
  <si>
    <t>normal tax</t>
  </si>
  <si>
    <t>cess</t>
  </si>
  <si>
    <t>marginal relief</t>
  </si>
  <si>
    <t>surcharge</t>
  </si>
  <si>
    <t>toatal tax</t>
  </si>
  <si>
    <t>net tax</t>
  </si>
  <si>
    <t>SI Amount</t>
  </si>
  <si>
    <t>Marginal relief benefit under section 115BAC(1)</t>
  </si>
  <si>
    <t>CCA Amount</t>
  </si>
  <si>
    <t>Washing All. Amount</t>
  </si>
  <si>
    <t>GIS Amount</t>
  </si>
  <si>
    <t>Surrender लिया या नहीं</t>
  </si>
  <si>
    <t>GPF/GPF2004 Amount यदि स्लैब के अलावा है तो -</t>
  </si>
  <si>
    <t>LIC Amount from Salary</t>
  </si>
  <si>
    <t>Hitkari Nidhi Amount</t>
  </si>
  <si>
    <t>Other Ded1</t>
  </si>
  <si>
    <t>Other Ded2</t>
  </si>
  <si>
    <t>GPF No.</t>
  </si>
  <si>
    <t>SI No.</t>
  </si>
  <si>
    <t>Mobile No.</t>
  </si>
  <si>
    <t>Name of Employee-</t>
  </si>
  <si>
    <t>Post</t>
  </si>
  <si>
    <t>Pay Level</t>
  </si>
  <si>
    <t>Bank A/c No.-</t>
  </si>
  <si>
    <t>Employee ID</t>
  </si>
  <si>
    <t>PAN No.</t>
  </si>
  <si>
    <t>वेतन के अतिरिक्त कटौतियाँ, आय/जमा राशि एवं छूट का विवरण</t>
  </si>
  <si>
    <t>क्र.सं.</t>
  </si>
  <si>
    <t>विवरण</t>
  </si>
  <si>
    <t>राशि</t>
  </si>
  <si>
    <t>मकान किराया भत्ता ( छूट जो लेनी है)</t>
  </si>
  <si>
    <t>मनोरंजन भता धारा 16 (ii) के अन्तर्गत</t>
  </si>
  <si>
    <t>व्यवयाय कर धारा 16 (iii) के अन्तगर्त</t>
  </si>
  <si>
    <t>गृह सम्पति से प्राप्त किराया - आय</t>
  </si>
  <si>
    <t>गृहकर</t>
  </si>
  <si>
    <t>गृह ऋण किस्त मूलधन</t>
  </si>
  <si>
    <t>गृह ऋण किस्त ब्याज</t>
  </si>
  <si>
    <t>जीवन बीमा प्रीमियम (जो वेतन से नही काटा गया) LIC</t>
  </si>
  <si>
    <t>पी.एल.आई. (PLI)</t>
  </si>
  <si>
    <t>टयूशन फीस (Tution Fees)</t>
  </si>
  <si>
    <t>यू. एल. आई. पी./वार्षिक प्लान</t>
  </si>
  <si>
    <t>राष्ट्रीय बचत पत्र NSC</t>
  </si>
  <si>
    <t>राष्ट्रीय बचत पत्र पर अदत ब्याज</t>
  </si>
  <si>
    <t>लोक भविष्य निधि PPF</t>
  </si>
  <si>
    <t>राष्ट्रीय बचत स्कीम NSS</t>
  </si>
  <si>
    <t>सुकन्या समृद्धि योजना SSY</t>
  </si>
  <si>
    <t>स्थगित वार्षिकी (Defferred Annuty)</t>
  </si>
  <si>
    <t>बचत खाते (Saving Acounts) की जमा राशि पर प्राप्त ब्याज</t>
  </si>
  <si>
    <t>एफडी आदि अन्य जमा राशि पर प्राप्त कुल ब्याज (पीपीएफ को छोड़कर)</t>
  </si>
  <si>
    <t>अन्य विभिन्न स्त्रो़त्र (ब्याज के अलावा) से कुल आय</t>
  </si>
  <si>
    <t>धारा 80 सी के अन्तर्गत अन्य मद में जमा करायी गयी राशि</t>
  </si>
  <si>
    <t>धारा 80CCC-पेंशन प्लान हेतु अंशदान (एन.पी.एस. के अलावा)</t>
  </si>
  <si>
    <t>सरकारी पेंशन योजना में कर्मचारी का अंशदान अधिकतम वेतन का 10% धारा 80CCD(1)</t>
  </si>
  <si>
    <t>धारा 80CCD(1B) नवीन पेंशन योजना में अतिरिक्त अंशदान (अधिकतम रू. 50,000)</t>
  </si>
  <si>
    <t>वेतन बिल के अलावा जमा कराया गया आयकर TDS</t>
  </si>
  <si>
    <t>धारा 10(14) के अन्तर्गत भत्ते जो करमुक्त है</t>
  </si>
  <si>
    <t>धारा 80 U स्थाई रूप से शारीरिक असमर्थतता की दशा में (अधिकतम 75,000 तथा  अधिनियम 1995के अनुसार 125,000)</t>
  </si>
  <si>
    <t>धारा 80 D, चिकित्सा बीमा प्रीमियम (स्वयं,पति/पत्नी,माता-पिता व बच्चों के लिए रू 25000,सीनियर सिटीजन रू 50000)</t>
  </si>
  <si>
    <t>DA Arrear मिला या नही</t>
  </si>
  <si>
    <t>Are you in Probation</t>
  </si>
  <si>
    <t>TOTAL TAX</t>
  </si>
  <si>
    <t>CALCULATE YOUR HRA EXEMPTION NOW !</t>
  </si>
  <si>
    <t>Basic salary</t>
  </si>
  <si>
    <t>DA forming part of salary</t>
  </si>
  <si>
    <t>HRA Received</t>
  </si>
  <si>
    <t>Rent Paid</t>
  </si>
  <si>
    <t>Residing in Metro City (Choose if Yes)</t>
  </si>
  <si>
    <t>Rent Paid in excess of 10% of salary</t>
  </si>
  <si>
    <t>Exempted House Rent Allowance</t>
  </si>
  <si>
    <t>Taxable House Rent Allowance</t>
  </si>
  <si>
    <t>No</t>
  </si>
  <si>
    <t>Summary</t>
  </si>
  <si>
    <t>Total GROSS SALARY</t>
  </si>
  <si>
    <t>Tax Old Regime</t>
  </si>
  <si>
    <t>Tax New Regime</t>
  </si>
  <si>
    <t>Total Tax Deposited Yet</t>
  </si>
  <si>
    <t>Requirement of Receipt for HRA Rebate</t>
  </si>
  <si>
    <t>Software Prepared By Ashwini Kumar : 9166023711 www.ashwinisharma.com</t>
  </si>
  <si>
    <t>आय वर्ष 2024-25 में प्राप्त कुल वेतन -</t>
  </si>
  <si>
    <t>सितम्बर 2024 तक</t>
  </si>
  <si>
    <t>अक्टूबर से दिसम्बर 2024 तक</t>
  </si>
  <si>
    <t>जनवरी 2025</t>
  </si>
  <si>
    <t>फ़रवरी 2025</t>
  </si>
  <si>
    <t>(I)Standard Deduction Maxium 75000 धारा 16 (i a)</t>
  </si>
  <si>
    <t>मार्च 2024 का बेसिक-</t>
  </si>
  <si>
    <t>Requirement of Receipt for per month</t>
  </si>
  <si>
    <t>Salary and Deduction Detail for FY : 2025-26</t>
  </si>
  <si>
    <t>DA Arrear Jan 25 to Mar 25</t>
  </si>
  <si>
    <t>DA Arrear Jul 25 to Sep 25</t>
  </si>
  <si>
    <t>आयकर गणना प्रपत्र वर्ष 2025-26</t>
  </si>
  <si>
    <t>400000 तक</t>
  </si>
  <si>
    <t>400001 से 800000 तक</t>
  </si>
  <si>
    <t>800001 से 1200000 तक</t>
  </si>
  <si>
    <t>1200001 से 1600000 तक</t>
  </si>
  <si>
    <t>1600001 से 2000000 तक</t>
  </si>
  <si>
    <t>2000001 से 2400000 तक</t>
  </si>
  <si>
    <t>2400000 से अधिक</t>
  </si>
  <si>
    <t>छूट घारा 87(A) (12 लाख तक की कर योग्य आय पर आयकर की छूट अधिकतम रू. 60000 तक)</t>
  </si>
  <si>
    <t>MOHIT SINGH</t>
  </si>
  <si>
    <t>RJBW201708008082</t>
  </si>
  <si>
    <t>EKSPS8037K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</si>
</sst>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/yy;@"/>
    <numFmt numFmtId="165" formatCode="_ [$₹-439]* #,##0.00_ ;_ [$₹-439]* \-#,##0.00_ ;_ [$₹-439]* &quot;-&quot;??_ ;_ @_ "/>
  </numFmts>
  <fonts count="4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10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4"/>
      <color theme="9" tint="-0.499984740745262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b/>
      <sz val="12"/>
      <color theme="3" tint="-0.249977111117893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rgb="FF002060"/>
      <name val="Calibri"/>
      <family val="2"/>
      <scheme val="minor"/>
    </font>
    <font>
      <sz val="8"/>
      <color rgb="FF002060"/>
      <name val="Calibri"/>
      <family val="2"/>
      <scheme val="minor"/>
    </font>
    <font>
      <sz val="9"/>
      <color rgb="FF002060"/>
      <name val="Calibri"/>
      <family val="2"/>
      <scheme val="minor"/>
    </font>
    <font>
      <sz val="9"/>
      <color rgb="FFC00000"/>
      <name val="Calibri"/>
      <family val="2"/>
      <scheme val="minor"/>
    </font>
    <font>
      <b/>
      <sz val="10"/>
      <color theme="9" tint="-0.499984740745262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rgb="FF002060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4"/>
      <color rgb="FFC00000"/>
      <name val="Cambria"/>
      <family val="1"/>
      <scheme val="major"/>
    </font>
    <font>
      <b/>
      <sz val="19"/>
      <color rgb="FF002060"/>
      <name val="Cambria"/>
      <family val="1"/>
      <scheme val="major"/>
    </font>
    <font>
      <b/>
      <i/>
      <sz val="11"/>
      <color rgb="FFC00000"/>
      <name val="Cambria"/>
      <family val="1"/>
      <scheme val="major"/>
    </font>
    <font>
      <b/>
      <sz val="10"/>
      <name val="Cambria"/>
      <family val="1"/>
      <scheme val="major"/>
    </font>
    <font>
      <b/>
      <sz val="10"/>
      <color rgb="FF002060"/>
      <name val="Cambria"/>
      <family val="1"/>
      <scheme val="major"/>
    </font>
    <font>
      <sz val="11"/>
      <color theme="9" tint="-0.499984740745262"/>
      <name val="Cambria"/>
      <family val="1"/>
      <scheme val="major"/>
    </font>
    <font>
      <sz val="11"/>
      <color rgb="FF002060"/>
      <name val="Cambria"/>
      <family val="1"/>
      <scheme val="major"/>
    </font>
    <font>
      <b/>
      <sz val="11"/>
      <color rgb="FF002060"/>
      <name val="Cambria"/>
      <family val="1"/>
      <scheme val="major"/>
    </font>
    <font>
      <sz val="11"/>
      <color rgb="FFC00000"/>
      <name val="Cambria"/>
      <family val="1"/>
      <scheme val="major"/>
    </font>
    <font>
      <sz val="10"/>
      <color theme="9" tint="-0.499984740745262"/>
      <name val="Cambria"/>
      <family val="1"/>
      <scheme val="major"/>
    </font>
    <font>
      <b/>
      <sz val="14"/>
      <color rgb="FF002060"/>
      <name val="Cambria"/>
      <family val="1"/>
      <scheme val="major"/>
    </font>
    <font>
      <b/>
      <sz val="12"/>
      <color rgb="FFC00000"/>
      <name val="Cambria"/>
      <family val="1"/>
      <scheme val="major"/>
    </font>
    <font>
      <b/>
      <sz val="11"/>
      <color theme="9" tint="-0.499984740745262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u/>
      <sz val="11"/>
      <color rgb="FFC00000"/>
      <name val="Calibri"/>
      <family val="2"/>
      <scheme val="minor"/>
    </font>
    <font>
      <i/>
      <sz val="11"/>
      <color rgb="FFC00000"/>
      <name val="Calibri"/>
      <family val="2"/>
      <scheme val="minor"/>
    </font>
    <font>
      <i/>
      <sz val="11"/>
      <color rgb="FF002060"/>
      <name val="Cambria"/>
      <family val="1"/>
      <scheme val="maj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5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5" fillId="0" borderId="0" applyFont="0" applyFill="0" applyBorder="0" applyAlignment="0" applyProtection="0"/>
  </cellStyleXfs>
  <cellXfs count="248">
    <xf numFmtId="0" fontId="0" fillId="0" borderId="0" xfId="0"/>
    <xf numFmtId="2" fontId="1" fillId="0" borderId="12" xfId="0" applyNumberFormat="1" applyFont="1" applyBorder="1" applyAlignment="1" applyProtection="1">
      <alignment vertical="center"/>
      <protection hidden="1"/>
    </xf>
    <xf numFmtId="2" fontId="4" fillId="0" borderId="24" xfId="0" applyNumberFormat="1" applyFont="1" applyBorder="1" applyAlignment="1" applyProtection="1">
      <alignment vertical="center"/>
      <protection hidden="1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2" fontId="1" fillId="0" borderId="12" xfId="0" applyNumberFormat="1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3" fillId="0" borderId="30" xfId="0" applyFont="1" applyBorder="1" applyAlignment="1" applyProtection="1">
      <alignment vertical="center"/>
      <protection locked="0"/>
    </xf>
    <xf numFmtId="0" fontId="3" fillId="0" borderId="31" xfId="0" applyFont="1" applyBorder="1" applyAlignment="1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hidden="1"/>
    </xf>
    <xf numFmtId="0" fontId="15" fillId="0" borderId="11" xfId="0" applyFont="1" applyBorder="1" applyAlignment="1" applyProtection="1">
      <alignment horizontal="center" vertical="center"/>
      <protection hidden="1"/>
    </xf>
    <xf numFmtId="0" fontId="7" fillId="0" borderId="12" xfId="0" applyFont="1" applyBorder="1" applyAlignment="1" applyProtection="1">
      <alignment vertical="center"/>
      <protection hidden="1"/>
    </xf>
    <xf numFmtId="2" fontId="6" fillId="0" borderId="12" xfId="0" applyNumberFormat="1" applyFont="1" applyBorder="1" applyAlignment="1" applyProtection="1">
      <alignment vertical="center"/>
      <protection hidden="1"/>
    </xf>
    <xf numFmtId="0" fontId="9" fillId="0" borderId="12" xfId="0" applyFont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 applyProtection="1">
      <alignment vertical="center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9" fontId="9" fillId="0" borderId="1" xfId="0" applyNumberFormat="1" applyFont="1" applyBorder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2" fontId="13" fillId="0" borderId="12" xfId="0" applyNumberFormat="1" applyFont="1" applyBorder="1" applyAlignment="1" applyProtection="1">
      <alignment vertical="center"/>
      <protection hidden="1"/>
    </xf>
    <xf numFmtId="2" fontId="20" fillId="0" borderId="24" xfId="0" applyNumberFormat="1" applyFont="1" applyBorder="1" applyAlignment="1" applyProtection="1">
      <alignment vertical="center"/>
      <protection hidden="1"/>
    </xf>
    <xf numFmtId="2" fontId="13" fillId="0" borderId="10" xfId="0" applyNumberFormat="1" applyFont="1" applyBorder="1" applyAlignment="1" applyProtection="1">
      <alignment vertical="center"/>
      <protection hidden="1"/>
    </xf>
    <xf numFmtId="0" fontId="20" fillId="0" borderId="12" xfId="0" applyFont="1" applyBorder="1" applyAlignment="1" applyProtection="1">
      <alignment horizontal="center" vertical="center"/>
      <protection hidden="1"/>
    </xf>
    <xf numFmtId="2" fontId="6" fillId="0" borderId="12" xfId="0" applyNumberFormat="1" applyFont="1" applyBorder="1" applyAlignment="1" applyProtection="1">
      <alignment vertical="center"/>
      <protection locked="0"/>
    </xf>
    <xf numFmtId="0" fontId="0" fillId="0" borderId="39" xfId="0" applyBorder="1" applyAlignment="1" applyProtection="1">
      <alignment wrapText="1"/>
      <protection hidden="1"/>
    </xf>
    <xf numFmtId="2" fontId="0" fillId="0" borderId="39" xfId="0" applyNumberFormat="1" applyBorder="1" applyAlignment="1" applyProtection="1">
      <alignment horizontal="right" wrapText="1"/>
      <protection hidden="1"/>
    </xf>
    <xf numFmtId="0" fontId="0" fillId="0" borderId="39" xfId="0" applyBorder="1" applyAlignment="1" applyProtection="1">
      <alignment horizontal="right" wrapText="1"/>
      <protection hidden="1"/>
    </xf>
    <xf numFmtId="0" fontId="0" fillId="0" borderId="39" xfId="0" applyBorder="1" applyProtection="1">
      <protection hidden="1"/>
    </xf>
    <xf numFmtId="0" fontId="9" fillId="0" borderId="1" xfId="0" applyFont="1" applyBorder="1" applyAlignment="1" applyProtection="1">
      <alignment horizontal="left" vertical="center" wrapText="1"/>
      <protection hidden="1"/>
    </xf>
    <xf numFmtId="2" fontId="24" fillId="0" borderId="24" xfId="0" applyNumberFormat="1" applyFont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/>
      <protection locked="0"/>
    </xf>
    <xf numFmtId="0" fontId="29" fillId="0" borderId="0" xfId="0" applyFont="1" applyProtection="1">
      <protection locked="0"/>
    </xf>
    <xf numFmtId="0" fontId="31" fillId="0" borderId="0" xfId="0" applyFont="1" applyAlignment="1" applyProtection="1">
      <alignment vertical="center"/>
      <protection locked="0"/>
    </xf>
    <xf numFmtId="0" fontId="29" fillId="0" borderId="0" xfId="0" applyFont="1" applyAlignment="1" applyProtection="1">
      <alignment wrapText="1"/>
      <protection locked="0"/>
    </xf>
    <xf numFmtId="0" fontId="29" fillId="0" borderId="0" xfId="0" applyFont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 vertical="center"/>
      <protection locked="0"/>
    </xf>
    <xf numFmtId="0" fontId="33" fillId="2" borderId="32" xfId="0" applyFont="1" applyFill="1" applyBorder="1" applyAlignment="1" applyProtection="1">
      <alignment horizontal="center" vertical="center" wrapText="1"/>
      <protection hidden="1"/>
    </xf>
    <xf numFmtId="0" fontId="33" fillId="2" borderId="33" xfId="0" applyFont="1" applyFill="1" applyBorder="1" applyAlignment="1" applyProtection="1">
      <alignment horizontal="center" vertical="center" textRotation="90" wrapText="1"/>
      <protection hidden="1"/>
    </xf>
    <xf numFmtId="0" fontId="33" fillId="2" borderId="42" xfId="0" applyFont="1" applyFill="1" applyBorder="1" applyAlignment="1" applyProtection="1">
      <alignment horizontal="center" vertical="center" textRotation="90" wrapText="1"/>
      <protection hidden="1"/>
    </xf>
    <xf numFmtId="0" fontId="33" fillId="2" borderId="44" xfId="0" applyFont="1" applyFill="1" applyBorder="1" applyAlignment="1" applyProtection="1">
      <alignment horizontal="center" vertical="center" textRotation="90" wrapText="1"/>
      <protection hidden="1"/>
    </xf>
    <xf numFmtId="0" fontId="33" fillId="2" borderId="43" xfId="0" applyFont="1" applyFill="1" applyBorder="1" applyAlignment="1" applyProtection="1">
      <alignment horizontal="center" vertical="center" textRotation="90" wrapText="1"/>
      <protection hidden="1"/>
    </xf>
    <xf numFmtId="0" fontId="34" fillId="2" borderId="33" xfId="0" applyFont="1" applyFill="1" applyBorder="1" applyAlignment="1" applyProtection="1">
      <alignment horizontal="center" vertical="center" textRotation="90" wrapText="1"/>
      <protection hidden="1"/>
    </xf>
    <xf numFmtId="0" fontId="33" fillId="2" borderId="47" xfId="0" applyFont="1" applyFill="1" applyBorder="1" applyAlignment="1" applyProtection="1">
      <alignment horizontal="center" vertical="center" textRotation="90" wrapText="1"/>
      <protection hidden="1"/>
    </xf>
    <xf numFmtId="17" fontId="35" fillId="0" borderId="11" xfId="0" applyNumberFormat="1" applyFont="1" applyBorder="1" applyAlignment="1" applyProtection="1">
      <alignment horizontal="left" vertical="center"/>
      <protection hidden="1"/>
    </xf>
    <xf numFmtId="3" fontId="36" fillId="3" borderId="1" xfId="0" applyNumberFormat="1" applyFont="1" applyFill="1" applyBorder="1" applyAlignment="1" applyProtection="1">
      <alignment horizontal="center" vertical="center"/>
      <protection locked="0" hidden="1"/>
    </xf>
    <xf numFmtId="3" fontId="36" fillId="0" borderId="1" xfId="0" applyNumberFormat="1" applyFont="1" applyBorder="1" applyAlignment="1" applyProtection="1">
      <alignment horizontal="center" vertical="center"/>
      <protection locked="0" hidden="1"/>
    </xf>
    <xf numFmtId="3" fontId="36" fillId="0" borderId="20" xfId="0" applyNumberFormat="1" applyFont="1" applyBorder="1" applyAlignment="1" applyProtection="1">
      <alignment horizontal="center" vertical="center"/>
      <protection locked="0" hidden="1"/>
    </xf>
    <xf numFmtId="3" fontId="37" fillId="3" borderId="45" xfId="0" applyNumberFormat="1" applyFont="1" applyFill="1" applyBorder="1" applyAlignment="1" applyProtection="1">
      <alignment horizontal="center" vertical="center"/>
      <protection hidden="1"/>
    </xf>
    <xf numFmtId="3" fontId="36" fillId="7" borderId="24" xfId="0" applyNumberFormat="1" applyFont="1" applyFill="1" applyBorder="1" applyAlignment="1" applyProtection="1">
      <alignment horizontal="center" vertical="center"/>
      <protection locked="0" hidden="1"/>
    </xf>
    <xf numFmtId="3" fontId="38" fillId="3" borderId="20" xfId="0" applyNumberFormat="1" applyFont="1" applyFill="1" applyBorder="1" applyAlignment="1" applyProtection="1">
      <alignment horizontal="center" vertical="center"/>
      <protection hidden="1"/>
    </xf>
    <xf numFmtId="0" fontId="29" fillId="0" borderId="28" xfId="0" applyFont="1" applyBorder="1" applyProtection="1">
      <protection locked="0"/>
    </xf>
    <xf numFmtId="0" fontId="36" fillId="0" borderId="0" xfId="0" applyFont="1" applyProtection="1">
      <protection locked="0"/>
    </xf>
    <xf numFmtId="3" fontId="36" fillId="3" borderId="20" xfId="0" applyNumberFormat="1" applyFont="1" applyFill="1" applyBorder="1" applyAlignment="1" applyProtection="1">
      <alignment horizontal="center" vertical="center"/>
      <protection locked="0" hidden="1"/>
    </xf>
    <xf numFmtId="3" fontId="36" fillId="3" borderId="24" xfId="0" applyNumberFormat="1" applyFont="1" applyFill="1" applyBorder="1" applyAlignment="1" applyProtection="1">
      <alignment horizontal="center" vertical="center"/>
      <protection locked="0" hidden="1"/>
    </xf>
    <xf numFmtId="0" fontId="35" fillId="0" borderId="11" xfId="0" applyFont="1" applyBorder="1" applyAlignment="1" applyProtection="1">
      <alignment wrapText="1"/>
      <protection hidden="1"/>
    </xf>
    <xf numFmtId="3" fontId="36" fillId="0" borderId="24" xfId="0" applyNumberFormat="1" applyFont="1" applyBorder="1" applyAlignment="1" applyProtection="1">
      <alignment horizontal="center" vertical="center"/>
      <protection locked="0" hidden="1"/>
    </xf>
    <xf numFmtId="0" fontId="35" fillId="0" borderId="11" xfId="0" applyFont="1" applyBorder="1" applyAlignment="1" applyProtection="1">
      <alignment vertical="center"/>
      <protection hidden="1"/>
    </xf>
    <xf numFmtId="0" fontId="29" fillId="0" borderId="28" xfId="0" applyFont="1" applyBorder="1" applyAlignment="1" applyProtection="1">
      <alignment vertical="center"/>
      <protection locked="0"/>
    </xf>
    <xf numFmtId="0" fontId="29" fillId="0" borderId="0" xfId="0" applyFont="1" applyAlignment="1" applyProtection="1">
      <alignment vertical="center"/>
      <protection locked="0"/>
    </xf>
    <xf numFmtId="0" fontId="39" fillId="0" borderId="11" xfId="0" applyFont="1" applyBorder="1" applyAlignment="1" applyProtection="1">
      <alignment vertical="center" wrapText="1"/>
      <protection locked="0"/>
    </xf>
    <xf numFmtId="0" fontId="40" fillId="0" borderId="35" xfId="0" applyFont="1" applyBorder="1" applyAlignment="1" applyProtection="1">
      <alignment horizontal="center" vertical="center"/>
      <protection hidden="1"/>
    </xf>
    <xf numFmtId="3" fontId="41" fillId="3" borderId="36" xfId="0" applyNumberFormat="1" applyFont="1" applyFill="1" applyBorder="1" applyAlignment="1" applyProtection="1">
      <alignment horizontal="center" vertical="center" textRotation="90"/>
      <protection hidden="1"/>
    </xf>
    <xf numFmtId="3" fontId="41" fillId="3" borderId="46" xfId="0" applyNumberFormat="1" applyFont="1" applyFill="1" applyBorder="1" applyAlignment="1" applyProtection="1">
      <alignment horizontal="center" vertical="center" textRotation="90"/>
      <protection hidden="1"/>
    </xf>
    <xf numFmtId="3" fontId="41" fillId="3" borderId="38" xfId="0" applyNumberFormat="1" applyFont="1" applyFill="1" applyBorder="1" applyAlignment="1" applyProtection="1">
      <alignment horizontal="center" vertical="center" textRotation="90"/>
      <protection hidden="1"/>
    </xf>
    <xf numFmtId="0" fontId="38" fillId="0" borderId="48" xfId="0" applyFont="1" applyBorder="1" applyAlignment="1" applyProtection="1">
      <alignment textRotation="90"/>
      <protection hidden="1"/>
    </xf>
    <xf numFmtId="0" fontId="42" fillId="0" borderId="0" xfId="0" applyFont="1" applyProtection="1">
      <protection hidden="1"/>
    </xf>
    <xf numFmtId="3" fontId="29" fillId="0" borderId="0" xfId="0" applyNumberFormat="1" applyFont="1" applyProtection="1">
      <protection locked="0"/>
    </xf>
    <xf numFmtId="0" fontId="37" fillId="0" borderId="0" xfId="0" applyFont="1" applyProtection="1">
      <protection hidden="1"/>
    </xf>
    <xf numFmtId="0" fontId="33" fillId="2" borderId="33" xfId="0" applyFont="1" applyFill="1" applyBorder="1" applyAlignment="1" applyProtection="1">
      <alignment horizontal="center" vertical="center" textRotation="90" wrapText="1"/>
      <protection locked="0"/>
    </xf>
    <xf numFmtId="0" fontId="33" fillId="2" borderId="42" xfId="0" applyFont="1" applyFill="1" applyBorder="1" applyAlignment="1" applyProtection="1">
      <alignment horizontal="center" vertical="center" textRotation="90" wrapText="1"/>
      <protection locked="0"/>
    </xf>
    <xf numFmtId="2" fontId="7" fillId="0" borderId="1" xfId="0" applyNumberFormat="1" applyFont="1" applyBorder="1" applyAlignment="1" applyProtection="1">
      <alignment vertical="center"/>
      <protection locked="0"/>
    </xf>
    <xf numFmtId="0" fontId="15" fillId="0" borderId="11" xfId="0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 applyProtection="1">
      <alignment horizontal="center" vertical="center"/>
      <protection locked="0"/>
    </xf>
    <xf numFmtId="1" fontId="26" fillId="0" borderId="1" xfId="0" applyNumberFormat="1" applyFont="1" applyBorder="1" applyAlignment="1" applyProtection="1">
      <alignment horizontal="center" vertical="center"/>
      <protection locked="0"/>
    </xf>
    <xf numFmtId="9" fontId="26" fillId="0" borderId="1" xfId="2" applyFont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center" vertical="center"/>
      <protection locked="0"/>
    </xf>
    <xf numFmtId="0" fontId="26" fillId="0" borderId="34" xfId="0" applyFont="1" applyBorder="1" applyAlignment="1" applyProtection="1">
      <alignment horizontal="center" vertical="center"/>
      <protection locked="0"/>
    </xf>
    <xf numFmtId="0" fontId="26" fillId="0" borderId="12" xfId="0" applyFont="1" applyBorder="1" applyAlignment="1" applyProtection="1">
      <alignment horizontal="center" vertical="center"/>
      <protection locked="0"/>
    </xf>
    <xf numFmtId="164" fontId="26" fillId="0" borderId="12" xfId="0" applyNumberFormat="1" applyFont="1" applyBorder="1" applyAlignment="1" applyProtection="1">
      <alignment horizontal="center" vertical="center"/>
      <protection locked="0"/>
    </xf>
    <xf numFmtId="0" fontId="26" fillId="0" borderId="36" xfId="0" applyFont="1" applyBorder="1" applyAlignment="1" applyProtection="1">
      <alignment horizontal="center" vertical="center"/>
      <protection locked="0"/>
    </xf>
    <xf numFmtId="0" fontId="26" fillId="0" borderId="37" xfId="0" applyFont="1" applyBorder="1" applyAlignment="1" applyProtection="1">
      <alignment horizontal="center" vertical="center"/>
      <protection locked="0"/>
    </xf>
    <xf numFmtId="0" fontId="0" fillId="8" borderId="0" xfId="0" applyFill="1" applyAlignment="1" applyProtection="1">
      <alignment horizontal="center" vertical="center"/>
      <protection locked="0"/>
    </xf>
    <xf numFmtId="0" fontId="22" fillId="0" borderId="32" xfId="0" applyFont="1" applyBorder="1" applyAlignment="1" applyProtection="1">
      <alignment horizontal="center" vertical="center"/>
      <protection hidden="1"/>
    </xf>
    <xf numFmtId="0" fontId="22" fillId="0" borderId="11" xfId="0" applyFont="1" applyBorder="1" applyAlignment="1" applyProtection="1">
      <alignment horizontal="center" vertical="center"/>
      <protection hidden="1"/>
    </xf>
    <xf numFmtId="0" fontId="22" fillId="0" borderId="35" xfId="0" applyFont="1" applyBorder="1" applyAlignment="1" applyProtection="1">
      <alignment horizontal="center" vertical="center"/>
      <protection hidden="1"/>
    </xf>
    <xf numFmtId="0" fontId="22" fillId="0" borderId="33" xfId="0" applyFont="1" applyBorder="1" applyAlignment="1" applyProtection="1">
      <alignment horizontal="center" vertical="center"/>
      <protection hidden="1"/>
    </xf>
    <xf numFmtId="0" fontId="22" fillId="0" borderId="1" xfId="0" applyFont="1" applyBorder="1" applyAlignment="1" applyProtection="1">
      <alignment horizontal="center" vertical="center"/>
      <protection hidden="1"/>
    </xf>
    <xf numFmtId="0" fontId="22" fillId="0" borderId="1" xfId="0" applyFont="1" applyBorder="1" applyAlignment="1" applyProtection="1">
      <alignment horizontal="center" vertical="center" wrapText="1"/>
      <protection hidden="1"/>
    </xf>
    <xf numFmtId="0" fontId="22" fillId="0" borderId="36" xfId="0" applyFont="1" applyBorder="1" applyAlignment="1" applyProtection="1">
      <alignment horizontal="center" vertical="center"/>
      <protection hidden="1"/>
    </xf>
    <xf numFmtId="0" fontId="39" fillId="0" borderId="11" xfId="0" applyFont="1" applyBorder="1" applyAlignment="1" applyProtection="1">
      <alignment vertical="center"/>
      <protection locked="0"/>
    </xf>
    <xf numFmtId="17" fontId="35" fillId="0" borderId="1" xfId="0" applyNumberFormat="1" applyFont="1" applyBorder="1" applyAlignment="1" applyProtection="1">
      <alignment horizontal="left" vertical="center"/>
      <protection hidden="1"/>
    </xf>
    <xf numFmtId="0" fontId="36" fillId="0" borderId="0" xfId="0" applyFont="1" applyProtection="1">
      <protection hidden="1"/>
    </xf>
    <xf numFmtId="9" fontId="29" fillId="0" borderId="0" xfId="0" applyNumberFormat="1" applyFont="1" applyProtection="1">
      <protection hidden="1"/>
    </xf>
    <xf numFmtId="3" fontId="36" fillId="0" borderId="0" xfId="0" applyNumberFormat="1" applyFont="1" applyProtection="1">
      <protection hidden="1"/>
    </xf>
    <xf numFmtId="0" fontId="29" fillId="0" borderId="0" xfId="0" applyFont="1" applyProtection="1">
      <protection hidden="1"/>
    </xf>
    <xf numFmtId="3" fontId="29" fillId="0" borderId="0" xfId="0" applyNumberFormat="1" applyFont="1" applyProtection="1">
      <protection hidden="1"/>
    </xf>
    <xf numFmtId="165" fontId="0" fillId="0" borderId="1" xfId="0" applyNumberForma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1" fillId="6" borderId="1" xfId="0" applyFont="1" applyFill="1" applyBorder="1" applyAlignment="1" applyProtection="1">
      <alignment horizontal="center" vertical="center"/>
      <protection hidden="1"/>
    </xf>
    <xf numFmtId="0" fontId="1" fillId="6" borderId="1" xfId="0" applyFont="1" applyFill="1" applyBorder="1" applyAlignment="1" applyProtection="1">
      <alignment horizontal="center" vertical="center" wrapText="1"/>
      <protection hidden="1"/>
    </xf>
    <xf numFmtId="0" fontId="45" fillId="0" borderId="1" xfId="0" applyFont="1" applyBorder="1" applyAlignment="1" applyProtection="1">
      <alignment horizontal="center" vertical="center"/>
      <protection hidden="1"/>
    </xf>
    <xf numFmtId="165" fontId="41" fillId="0" borderId="1" xfId="0" applyNumberFormat="1" applyFont="1" applyBorder="1" applyAlignment="1" applyProtection="1">
      <alignment horizontal="right" vertical="center"/>
      <protection locked="0"/>
    </xf>
    <xf numFmtId="165" fontId="41" fillId="0" borderId="0" xfId="0" applyNumberFormat="1" applyFont="1" applyAlignment="1" applyProtection="1">
      <alignment horizontal="right" vertical="center"/>
      <protection locked="0"/>
    </xf>
    <xf numFmtId="165" fontId="41" fillId="0" borderId="1" xfId="0" applyNumberFormat="1" applyFont="1" applyBorder="1" applyAlignment="1" applyProtection="1">
      <alignment horizontal="right" vertical="center"/>
      <protection hidden="1"/>
    </xf>
    <xf numFmtId="165" fontId="29" fillId="0" borderId="0" xfId="0" applyNumberFormat="1" applyFont="1" applyProtection="1">
      <protection hidden="1"/>
    </xf>
    <xf numFmtId="3" fontId="41" fillId="0" borderId="1" xfId="0" applyNumberFormat="1" applyFont="1" applyBorder="1" applyAlignment="1" applyProtection="1">
      <alignment vertical="center"/>
      <protection hidden="1"/>
    </xf>
    <xf numFmtId="2" fontId="41" fillId="0" borderId="1" xfId="0" applyNumberFormat="1" applyFont="1" applyBorder="1" applyAlignment="1" applyProtection="1">
      <alignment vertical="center"/>
      <protection hidden="1"/>
    </xf>
    <xf numFmtId="165" fontId="41" fillId="0" borderId="1" xfId="0" applyNumberFormat="1" applyFont="1" applyBorder="1" applyAlignment="1" applyProtection="1">
      <alignment vertical="center"/>
      <protection hidden="1"/>
    </xf>
    <xf numFmtId="0" fontId="46" fillId="0" borderId="1" xfId="0" applyFont="1" applyBorder="1" applyAlignment="1" applyProtection="1">
      <alignment vertical="center"/>
      <protection hidden="1"/>
    </xf>
    <xf numFmtId="165" fontId="26" fillId="4" borderId="1" xfId="0" applyNumberFormat="1" applyFont="1" applyFill="1" applyBorder="1" applyAlignment="1" applyProtection="1">
      <alignment horizontal="center" vertical="center"/>
      <protection locked="0"/>
    </xf>
    <xf numFmtId="0" fontId="21" fillId="7" borderId="0" xfId="0" applyFont="1" applyFill="1" applyAlignment="1" applyProtection="1">
      <alignment vertical="center" wrapText="1"/>
      <protection locked="0"/>
    </xf>
    <xf numFmtId="2" fontId="7" fillId="0" borderId="1" xfId="0" applyNumberFormat="1" applyFont="1" applyBorder="1" applyAlignment="1" applyProtection="1">
      <alignment vertical="center"/>
      <protection hidden="1"/>
    </xf>
    <xf numFmtId="2" fontId="20" fillId="0" borderId="1" xfId="0" applyNumberFormat="1" applyFont="1" applyBorder="1" applyAlignment="1" applyProtection="1">
      <alignment horizontal="center" vertical="center" wrapText="1"/>
      <protection hidden="1"/>
    </xf>
    <xf numFmtId="2" fontId="7" fillId="0" borderId="1" xfId="0" applyNumberFormat="1" applyFont="1" applyBorder="1" applyAlignment="1" applyProtection="1">
      <alignment horizontal="center" vertical="center" wrapText="1"/>
      <protection hidden="1"/>
    </xf>
    <xf numFmtId="0" fontId="3" fillId="0" borderId="30" xfId="0" applyFont="1" applyBorder="1" applyAlignment="1" applyProtection="1">
      <alignment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3" fillId="0" borderId="31" xfId="0" applyFont="1" applyBorder="1" applyAlignment="1" applyProtection="1">
      <alignment vertical="center"/>
      <protection hidden="1"/>
    </xf>
    <xf numFmtId="165" fontId="41" fillId="4" borderId="1" xfId="0" applyNumberFormat="1" applyFont="1" applyFill="1" applyBorder="1" applyAlignment="1" applyProtection="1">
      <alignment horizontal="right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/>
      <protection hidden="1"/>
    </xf>
    <xf numFmtId="0" fontId="8" fillId="0" borderId="7" xfId="0" applyFont="1" applyBorder="1" applyAlignment="1" applyProtection="1">
      <alignment horizontal="center" vertic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42" fillId="0" borderId="0" xfId="0" applyFont="1" applyAlignment="1" applyProtection="1">
      <alignment horizontal="center"/>
      <protection hidden="1"/>
    </xf>
    <xf numFmtId="0" fontId="37" fillId="0" borderId="0" xfId="0" applyFont="1" applyAlignment="1" applyProtection="1">
      <alignment horizontal="center"/>
      <protection hidden="1"/>
    </xf>
    <xf numFmtId="0" fontId="43" fillId="0" borderId="20" xfId="0" applyFont="1" applyBorder="1" applyAlignment="1" applyProtection="1">
      <alignment horizontal="center" vertical="center"/>
      <protection hidden="1"/>
    </xf>
    <xf numFmtId="0" fontId="43" fillId="0" borderId="14" xfId="0" applyFont="1" applyBorder="1" applyAlignment="1" applyProtection="1">
      <alignment horizontal="center" vertical="center"/>
      <protection hidden="1"/>
    </xf>
    <xf numFmtId="0" fontId="43" fillId="0" borderId="24" xfId="0" applyFont="1" applyBorder="1" applyAlignment="1" applyProtection="1">
      <alignment horizontal="center" vertical="center"/>
      <protection hidden="1"/>
    </xf>
    <xf numFmtId="0" fontId="32" fillId="0" borderId="20" xfId="0" applyFont="1" applyBorder="1" applyAlignment="1" applyProtection="1">
      <alignment horizontal="center" vertical="center"/>
      <protection hidden="1"/>
    </xf>
    <xf numFmtId="0" fontId="32" fillId="0" borderId="24" xfId="0" applyFont="1" applyBorder="1" applyAlignment="1" applyProtection="1">
      <alignment horizontal="center" vertical="center"/>
      <protection hidden="1"/>
    </xf>
    <xf numFmtId="1" fontId="43" fillId="0" borderId="20" xfId="0" applyNumberFormat="1" applyFont="1" applyBorder="1" applyAlignment="1" applyProtection="1">
      <alignment horizontal="center" vertical="center"/>
      <protection hidden="1"/>
    </xf>
    <xf numFmtId="1" fontId="43" fillId="0" borderId="24" xfId="0" applyNumberFormat="1" applyFont="1" applyBorder="1" applyAlignment="1" applyProtection="1">
      <alignment horizontal="center" vertical="center"/>
      <protection hidden="1"/>
    </xf>
    <xf numFmtId="0" fontId="28" fillId="5" borderId="0" xfId="0" applyFont="1" applyFill="1" applyAlignment="1" applyProtection="1">
      <alignment horizontal="center" vertical="center" wrapText="1"/>
      <protection hidden="1"/>
    </xf>
    <xf numFmtId="0" fontId="30" fillId="0" borderId="0" xfId="0" applyFont="1" applyAlignment="1" applyProtection="1">
      <alignment horizontal="center" vertical="center" wrapText="1"/>
      <protection hidden="1"/>
    </xf>
    <xf numFmtId="0" fontId="44" fillId="0" borderId="0" xfId="0" applyFont="1" applyAlignment="1" applyProtection="1">
      <alignment horizontal="center" vertical="center"/>
      <protection hidden="1"/>
    </xf>
    <xf numFmtId="0" fontId="30" fillId="0" borderId="49" xfId="0" applyFont="1" applyBorder="1" applyAlignment="1" applyProtection="1">
      <alignment horizontal="center" vertical="center"/>
      <protection hidden="1"/>
    </xf>
    <xf numFmtId="0" fontId="30" fillId="0" borderId="50" xfId="0" applyFont="1" applyBorder="1" applyAlignment="1" applyProtection="1">
      <alignment horizontal="center" vertical="center"/>
      <protection hidden="1"/>
    </xf>
    <xf numFmtId="0" fontId="30" fillId="0" borderId="51" xfId="0" applyFont="1" applyBorder="1" applyAlignment="1" applyProtection="1">
      <alignment horizontal="center" vertical="center"/>
      <protection hidden="1"/>
    </xf>
    <xf numFmtId="0" fontId="30" fillId="0" borderId="52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5" xfId="0" applyFont="1" applyBorder="1" applyAlignment="1" applyProtection="1">
      <alignment horizontal="center" vertical="center"/>
      <protection hidden="1"/>
    </xf>
    <xf numFmtId="0" fontId="14" fillId="0" borderId="22" xfId="0" applyFont="1" applyBorder="1" applyAlignment="1" applyProtection="1">
      <alignment horizontal="center" vertical="center"/>
      <protection hidden="1"/>
    </xf>
    <xf numFmtId="0" fontId="14" fillId="0" borderId="13" xfId="0" applyFont="1" applyBorder="1" applyAlignment="1" applyProtection="1">
      <alignment horizontal="center" vertical="center"/>
      <protection hidden="1"/>
    </xf>
    <xf numFmtId="0" fontId="14" fillId="0" borderId="23" xfId="0" applyFont="1" applyBorder="1" applyAlignment="1" applyProtection="1">
      <alignment horizontal="center" vertical="center"/>
      <protection hidden="1"/>
    </xf>
    <xf numFmtId="0" fontId="9" fillId="0" borderId="20" xfId="0" applyFont="1" applyBorder="1" applyAlignment="1" applyProtection="1">
      <alignment horizontal="left" vertical="center"/>
      <protection hidden="1"/>
    </xf>
    <xf numFmtId="0" fontId="9" fillId="0" borderId="24" xfId="0" applyFont="1" applyBorder="1" applyAlignment="1" applyProtection="1">
      <alignment horizontal="left" vertical="center"/>
      <protection hidden="1"/>
    </xf>
    <xf numFmtId="0" fontId="13" fillId="0" borderId="20" xfId="0" applyFont="1" applyBorder="1" applyAlignment="1" applyProtection="1">
      <alignment horizontal="left" vertical="center"/>
      <protection hidden="1"/>
    </xf>
    <xf numFmtId="0" fontId="13" fillId="0" borderId="14" xfId="0" applyFont="1" applyBorder="1" applyAlignment="1" applyProtection="1">
      <alignment horizontal="left" vertical="center"/>
      <protection hidden="1"/>
    </xf>
    <xf numFmtId="0" fontId="13" fillId="0" borderId="24" xfId="0" applyFont="1" applyBorder="1" applyAlignment="1" applyProtection="1">
      <alignment horizontal="left" vertical="center"/>
      <protection hidden="1"/>
    </xf>
    <xf numFmtId="0" fontId="20" fillId="0" borderId="20" xfId="0" applyFont="1" applyBorder="1" applyAlignment="1" applyProtection="1">
      <alignment horizontal="left" vertical="center"/>
      <protection hidden="1"/>
    </xf>
    <xf numFmtId="0" fontId="20" fillId="0" borderId="24" xfId="0" applyFont="1" applyBorder="1" applyAlignment="1" applyProtection="1">
      <alignment horizontal="left" vertical="center"/>
      <protection hidden="1"/>
    </xf>
    <xf numFmtId="0" fontId="9" fillId="0" borderId="14" xfId="0" applyFont="1" applyBorder="1" applyAlignment="1" applyProtection="1">
      <alignment horizontal="left" vertical="center"/>
      <protection hidden="1"/>
    </xf>
    <xf numFmtId="2" fontId="1" fillId="0" borderId="18" xfId="0" applyNumberFormat="1" applyFont="1" applyBorder="1" applyAlignment="1" applyProtection="1">
      <alignment horizontal="center" vertical="center"/>
      <protection locked="0"/>
    </xf>
    <xf numFmtId="2" fontId="1" fillId="0" borderId="29" xfId="0" applyNumberFormat="1" applyFont="1" applyBorder="1" applyAlignment="1" applyProtection="1">
      <alignment horizontal="center" vertical="center"/>
      <protection locked="0"/>
    </xf>
    <xf numFmtId="2" fontId="1" fillId="0" borderId="10" xfId="0" applyNumberFormat="1" applyFont="1" applyBorder="1" applyAlignment="1" applyProtection="1">
      <alignment horizontal="center" vertical="center"/>
      <protection locked="0"/>
    </xf>
    <xf numFmtId="0" fontId="9" fillId="0" borderId="21" xfId="0" applyFont="1" applyBorder="1" applyAlignment="1" applyProtection="1">
      <alignment horizontal="center" vertical="center"/>
      <protection hidden="1"/>
    </xf>
    <xf numFmtId="0" fontId="9" fillId="0" borderId="25" xfId="0" applyFont="1" applyBorder="1" applyAlignment="1" applyProtection="1">
      <alignment horizontal="center" vertical="center"/>
      <protection hidden="1"/>
    </xf>
    <xf numFmtId="0" fontId="9" fillId="0" borderId="19" xfId="0" applyFont="1" applyBorder="1" applyAlignment="1" applyProtection="1">
      <alignment horizontal="center" vertical="center"/>
      <protection hidden="1"/>
    </xf>
    <xf numFmtId="0" fontId="9" fillId="0" borderId="27" xfId="0" applyFont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20" xfId="0" applyFont="1" applyBorder="1" applyAlignment="1" applyProtection="1">
      <alignment horizontal="center" vertical="center"/>
      <protection hidden="1"/>
    </xf>
    <xf numFmtId="0" fontId="9" fillId="0" borderId="24" xfId="0" applyFont="1" applyBorder="1" applyAlignment="1" applyProtection="1">
      <alignment horizontal="center" vertical="center"/>
      <protection hidden="1"/>
    </xf>
    <xf numFmtId="0" fontId="9" fillId="0" borderId="21" xfId="0" applyFont="1" applyBorder="1" applyAlignment="1" applyProtection="1">
      <alignment horizontal="left" vertical="center"/>
      <protection hidden="1"/>
    </xf>
    <xf numFmtId="0" fontId="9" fillId="0" borderId="15" xfId="0" applyFont="1" applyBorder="1" applyAlignment="1" applyProtection="1">
      <alignment horizontal="left" vertical="center"/>
      <protection hidden="1"/>
    </xf>
    <xf numFmtId="0" fontId="9" fillId="0" borderId="25" xfId="0" applyFont="1" applyBorder="1" applyAlignment="1" applyProtection="1">
      <alignment horizontal="left" vertical="center"/>
      <protection hidden="1"/>
    </xf>
    <xf numFmtId="0" fontId="9" fillId="0" borderId="1" xfId="0" applyFont="1" applyBorder="1" applyAlignment="1" applyProtection="1">
      <alignment horizontal="right" vertical="center"/>
      <protection hidden="1"/>
    </xf>
    <xf numFmtId="0" fontId="15" fillId="0" borderId="17" xfId="0" applyFont="1" applyBorder="1" applyAlignment="1" applyProtection="1">
      <alignment horizontal="center" vertical="center"/>
      <protection hidden="1"/>
    </xf>
    <xf numFmtId="0" fontId="15" fillId="0" borderId="26" xfId="0" applyFont="1" applyBorder="1" applyAlignment="1" applyProtection="1">
      <alignment horizontal="center" vertical="center"/>
      <protection hidden="1"/>
    </xf>
    <xf numFmtId="0" fontId="15" fillId="0" borderId="9" xfId="0" applyFont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vertical="center"/>
      <protection hidden="1"/>
    </xf>
    <xf numFmtId="0" fontId="9" fillId="0" borderId="20" xfId="0" applyFont="1" applyBorder="1" applyAlignment="1" applyProtection="1">
      <alignment vertical="center"/>
      <protection hidden="1"/>
    </xf>
    <xf numFmtId="0" fontId="9" fillId="0" borderId="14" xfId="0" applyFont="1" applyBorder="1" applyAlignment="1" applyProtection="1">
      <alignment vertical="center"/>
      <protection hidden="1"/>
    </xf>
    <xf numFmtId="0" fontId="9" fillId="0" borderId="24" xfId="0" applyFont="1" applyBorder="1" applyAlignment="1" applyProtection="1">
      <alignment vertical="center"/>
      <protection hidden="1"/>
    </xf>
    <xf numFmtId="0" fontId="9" fillId="0" borderId="20" xfId="0" applyFont="1" applyBorder="1" applyAlignment="1" applyProtection="1">
      <alignment horizontal="right" vertical="center"/>
      <protection hidden="1"/>
    </xf>
    <xf numFmtId="0" fontId="9" fillId="0" borderId="14" xfId="0" applyFont="1" applyBorder="1" applyAlignment="1" applyProtection="1">
      <alignment horizontal="right" vertical="center"/>
      <protection hidden="1"/>
    </xf>
    <xf numFmtId="0" fontId="9" fillId="0" borderId="24" xfId="0" applyFont="1" applyBorder="1" applyAlignment="1" applyProtection="1">
      <alignment horizontal="right" vertical="center"/>
      <protection hidden="1"/>
    </xf>
    <xf numFmtId="0" fontId="9" fillId="0" borderId="14" xfId="0" applyFont="1" applyBorder="1" applyAlignment="1" applyProtection="1">
      <alignment horizontal="center" vertical="center"/>
      <protection hidden="1"/>
    </xf>
    <xf numFmtId="2" fontId="20" fillId="0" borderId="20" xfId="0" applyNumberFormat="1" applyFont="1" applyBorder="1" applyAlignment="1" applyProtection="1">
      <alignment horizontal="center" vertical="center"/>
      <protection hidden="1"/>
    </xf>
    <xf numFmtId="2" fontId="20" fillId="0" borderId="24" xfId="0" applyNumberFormat="1" applyFont="1" applyBorder="1" applyAlignment="1" applyProtection="1">
      <alignment horizontal="center" vertical="center"/>
      <protection hidden="1"/>
    </xf>
    <xf numFmtId="2" fontId="20" fillId="0" borderId="20" xfId="0" applyNumberFormat="1" applyFont="1" applyBorder="1" applyAlignment="1" applyProtection="1">
      <alignment horizontal="center" vertical="center"/>
      <protection locked="0"/>
    </xf>
    <xf numFmtId="2" fontId="20" fillId="0" borderId="24" xfId="0" applyNumberFormat="1" applyFont="1" applyBorder="1" applyAlignment="1" applyProtection="1">
      <alignment horizontal="center" vertical="center"/>
      <protection locked="0"/>
    </xf>
    <xf numFmtId="2" fontId="20" fillId="0" borderId="14" xfId="0" applyNumberFormat="1" applyFont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left" vertical="center"/>
      <protection hidden="1"/>
    </xf>
    <xf numFmtId="2" fontId="16" fillId="0" borderId="20" xfId="0" applyNumberFormat="1" applyFont="1" applyBorder="1" applyAlignment="1" applyProtection="1">
      <alignment horizontal="center" vertical="center"/>
      <protection hidden="1"/>
    </xf>
    <xf numFmtId="2" fontId="16" fillId="0" borderId="24" xfId="0" applyNumberFormat="1" applyFont="1" applyBorder="1" applyAlignment="1" applyProtection="1">
      <alignment horizontal="center" vertical="center"/>
      <protection hidden="1"/>
    </xf>
    <xf numFmtId="0" fontId="9" fillId="0" borderId="21" xfId="0" applyFont="1" applyBorder="1" applyAlignment="1" applyProtection="1">
      <alignment horizontal="right" vertical="center"/>
      <protection hidden="1"/>
    </xf>
    <xf numFmtId="0" fontId="9" fillId="0" borderId="15" xfId="0" applyFont="1" applyBorder="1" applyAlignment="1" applyProtection="1">
      <alignment horizontal="right" vertical="center"/>
      <protection hidden="1"/>
    </xf>
    <xf numFmtId="0" fontId="9" fillId="0" borderId="25" xfId="0" applyFont="1" applyBorder="1" applyAlignment="1" applyProtection="1">
      <alignment horizontal="right" vertical="center"/>
      <protection hidden="1"/>
    </xf>
    <xf numFmtId="0" fontId="16" fillId="0" borderId="20" xfId="0" applyFont="1" applyBorder="1" applyAlignment="1" applyProtection="1">
      <alignment horizontal="right" vertical="center"/>
      <protection hidden="1"/>
    </xf>
    <xf numFmtId="0" fontId="16" fillId="0" borderId="14" xfId="0" applyFont="1" applyBorder="1" applyAlignment="1" applyProtection="1">
      <alignment horizontal="right" vertical="center"/>
      <protection hidden="1"/>
    </xf>
    <xf numFmtId="0" fontId="16" fillId="0" borderId="24" xfId="0" applyFont="1" applyBorder="1" applyAlignment="1" applyProtection="1">
      <alignment horizontal="right" vertical="center"/>
      <protection hidden="1"/>
    </xf>
    <xf numFmtId="0" fontId="9" fillId="0" borderId="28" xfId="0" applyFont="1" applyBorder="1" applyAlignment="1" applyProtection="1">
      <alignment vertical="center"/>
      <protection hidden="1"/>
    </xf>
    <xf numFmtId="2" fontId="20" fillId="0" borderId="20" xfId="0" applyNumberFormat="1" applyFont="1" applyBorder="1" applyAlignment="1" applyProtection="1">
      <alignment horizontal="right" vertical="center"/>
      <protection hidden="1"/>
    </xf>
    <xf numFmtId="2" fontId="20" fillId="0" borderId="24" xfId="0" applyNumberFormat="1" applyFont="1" applyBorder="1" applyAlignment="1" applyProtection="1">
      <alignment horizontal="right" vertical="center"/>
      <protection hidden="1"/>
    </xf>
    <xf numFmtId="0" fontId="9" fillId="0" borderId="16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9" fillId="0" borderId="15" xfId="0" applyFont="1" applyBorder="1" applyAlignment="1" applyProtection="1">
      <alignment horizontal="center" vertical="center"/>
      <protection hidden="1"/>
    </xf>
    <xf numFmtId="0" fontId="9" fillId="0" borderId="13" xfId="0" applyFont="1" applyBorder="1" applyAlignment="1" applyProtection="1">
      <alignment horizontal="center" vertical="center"/>
      <protection hidden="1"/>
    </xf>
    <xf numFmtId="2" fontId="20" fillId="0" borderId="16" xfId="0" applyNumberFormat="1" applyFont="1" applyBorder="1" applyAlignment="1" applyProtection="1">
      <alignment horizontal="center" vertical="center"/>
      <protection hidden="1"/>
    </xf>
    <xf numFmtId="2" fontId="20" fillId="0" borderId="2" xfId="0" applyNumberFormat="1" applyFont="1" applyBorder="1" applyAlignment="1" applyProtection="1">
      <alignment horizontal="center" vertical="center"/>
      <protection hidden="1"/>
    </xf>
    <xf numFmtId="0" fontId="16" fillId="0" borderId="1" xfId="0" applyFont="1" applyBorder="1" applyAlignment="1" applyProtection="1">
      <alignment vertical="center"/>
      <protection hidden="1"/>
    </xf>
    <xf numFmtId="2" fontId="20" fillId="0" borderId="20" xfId="0" applyNumberFormat="1" applyFont="1" applyBorder="1" applyAlignment="1" applyProtection="1">
      <alignment horizontal="center" vertical="center" wrapText="1"/>
      <protection hidden="1"/>
    </xf>
    <xf numFmtId="2" fontId="20" fillId="0" borderId="24" xfId="0" applyNumberFormat="1" applyFont="1" applyBorder="1" applyAlignment="1" applyProtection="1">
      <alignment horizontal="center" vertical="center" wrapText="1"/>
      <protection hidden="1"/>
    </xf>
    <xf numFmtId="0" fontId="20" fillId="0" borderId="11" xfId="0" applyFont="1" applyBorder="1" applyAlignment="1" applyProtection="1">
      <alignment horizontal="right" vertical="center"/>
      <protection hidden="1"/>
    </xf>
    <xf numFmtId="0" fontId="20" fillId="0" borderId="1" xfId="0" applyFont="1" applyBorder="1" applyAlignment="1" applyProtection="1">
      <alignment horizontal="right" vertical="center"/>
      <protection hidden="1"/>
    </xf>
    <xf numFmtId="0" fontId="11" fillId="0" borderId="6" xfId="0" applyFont="1" applyBorder="1" applyAlignment="1" applyProtection="1">
      <alignment horizontal="center" vertical="center"/>
      <protection hidden="1"/>
    </xf>
    <xf numFmtId="0" fontId="11" fillId="0" borderId="7" xfId="0" applyFont="1" applyBorder="1" applyAlignment="1" applyProtection="1">
      <alignment horizontal="center" vertical="center"/>
      <protection hidden="1"/>
    </xf>
    <xf numFmtId="0" fontId="11" fillId="0" borderId="8" xfId="0" applyFont="1" applyBorder="1" applyAlignment="1" applyProtection="1">
      <alignment horizontal="center" vertical="center"/>
      <protection hidden="1"/>
    </xf>
    <xf numFmtId="0" fontId="15" fillId="0" borderId="17" xfId="0" applyFont="1" applyBorder="1" applyAlignment="1" applyProtection="1">
      <alignment horizontal="center" vertical="center" wrapText="1"/>
      <protection hidden="1"/>
    </xf>
    <xf numFmtId="0" fontId="15" fillId="0" borderId="9" xfId="0" applyFont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 applyProtection="1">
      <alignment horizontal="center" vertical="center" wrapText="1"/>
      <protection hidden="1"/>
    </xf>
    <xf numFmtId="0" fontId="9" fillId="0" borderId="20" xfId="0" applyFont="1" applyBorder="1" applyAlignment="1" applyProtection="1">
      <alignment horizontal="center" vertical="center" wrapText="1"/>
      <protection hidden="1"/>
    </xf>
    <xf numFmtId="0" fontId="9" fillId="0" borderId="24" xfId="0" applyFont="1" applyBorder="1" applyAlignment="1" applyProtection="1">
      <alignment horizontal="center" vertical="center" wrapText="1"/>
      <protection hidden="1"/>
    </xf>
    <xf numFmtId="0" fontId="19" fillId="0" borderId="7" xfId="0" applyFont="1" applyBorder="1" applyAlignment="1" applyProtection="1">
      <alignment horizontal="center" vertical="center"/>
      <protection hidden="1"/>
    </xf>
    <xf numFmtId="0" fontId="23" fillId="0" borderId="40" xfId="0" applyFont="1" applyBorder="1" applyAlignment="1" applyProtection="1">
      <alignment horizontal="center" wrapText="1"/>
      <protection hidden="1"/>
    </xf>
    <xf numFmtId="0" fontId="23" fillId="0" borderId="41" xfId="0" applyFont="1" applyBorder="1" applyAlignment="1" applyProtection="1">
      <alignment horizontal="center" wrapText="1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10" fillId="0" borderId="22" xfId="0" applyFont="1" applyBorder="1" applyAlignment="1" applyProtection="1">
      <alignment horizontal="center" vertical="center"/>
      <protection hidden="1"/>
    </xf>
    <xf numFmtId="0" fontId="10" fillId="0" borderId="13" xfId="0" applyFont="1" applyBorder="1" applyAlignment="1" applyProtection="1">
      <alignment horizontal="center" vertical="center"/>
      <protection hidden="1"/>
    </xf>
    <xf numFmtId="0" fontId="10" fillId="0" borderId="23" xfId="0" applyFont="1" applyBorder="1" applyAlignment="1" applyProtection="1">
      <alignment horizontal="center" vertical="center"/>
      <protection hidden="1"/>
    </xf>
    <xf numFmtId="0" fontId="6" fillId="0" borderId="20" xfId="0" applyFont="1" applyBorder="1" applyAlignment="1" applyProtection="1">
      <alignment horizontal="left" vertical="center"/>
      <protection hidden="1"/>
    </xf>
    <xf numFmtId="0" fontId="6" fillId="0" borderId="14" xfId="0" applyFont="1" applyBorder="1" applyAlignment="1" applyProtection="1">
      <alignment horizontal="left" vertical="center"/>
      <protection hidden="1"/>
    </xf>
    <xf numFmtId="0" fontId="6" fillId="0" borderId="24" xfId="0" applyFont="1" applyBorder="1" applyAlignment="1" applyProtection="1">
      <alignment horizontal="left" vertical="center"/>
      <protection hidden="1"/>
    </xf>
    <xf numFmtId="0" fontId="7" fillId="0" borderId="20" xfId="0" applyFont="1" applyBorder="1" applyAlignment="1" applyProtection="1">
      <alignment horizontal="left" vertical="center"/>
      <protection hidden="1"/>
    </xf>
    <xf numFmtId="0" fontId="7" fillId="0" borderId="24" xfId="0" applyFont="1" applyBorder="1" applyAlignment="1" applyProtection="1">
      <alignment horizontal="left" vertical="center"/>
      <protection hidden="1"/>
    </xf>
    <xf numFmtId="2" fontId="6" fillId="0" borderId="12" xfId="0" applyNumberFormat="1" applyFont="1" applyBorder="1" applyAlignment="1" applyProtection="1">
      <alignment horizontal="center" vertical="center"/>
      <protection hidden="1"/>
    </xf>
    <xf numFmtId="2" fontId="1" fillId="0" borderId="12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2" fontId="4" fillId="0" borderId="20" xfId="0" applyNumberFormat="1" applyFont="1" applyBorder="1" applyAlignment="1" applyProtection="1">
      <alignment horizontal="center" vertical="center"/>
      <protection hidden="1"/>
    </xf>
    <xf numFmtId="2" fontId="4" fillId="0" borderId="24" xfId="0" applyNumberFormat="1" applyFont="1" applyBorder="1" applyAlignment="1" applyProtection="1">
      <alignment horizontal="center" vertical="center"/>
      <protection hidden="1"/>
    </xf>
    <xf numFmtId="0" fontId="4" fillId="0" borderId="14" xfId="0" applyFont="1" applyBorder="1" applyAlignment="1" applyProtection="1">
      <alignment horizontal="center" vertical="center"/>
      <protection hidden="1"/>
    </xf>
    <xf numFmtId="0" fontId="4" fillId="0" borderId="24" xfId="0" applyFont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left" vertical="center" wrapText="1"/>
      <protection hidden="1"/>
    </xf>
    <xf numFmtId="0" fontId="9" fillId="0" borderId="20" xfId="0" applyFont="1" applyBorder="1" applyAlignment="1" applyProtection="1">
      <alignment horizontal="left" vertical="center" wrapText="1"/>
      <protection hidden="1"/>
    </xf>
    <xf numFmtId="0" fontId="9" fillId="0" borderId="14" xfId="0" applyFont="1" applyBorder="1" applyAlignment="1" applyProtection="1">
      <alignment horizontal="left" vertical="center" wrapText="1"/>
      <protection hidden="1"/>
    </xf>
    <xf numFmtId="0" fontId="9" fillId="0" borderId="24" xfId="0" applyFont="1" applyBorder="1" applyAlignment="1" applyProtection="1">
      <alignment horizontal="left" vertical="center" wrapText="1"/>
      <protection hidden="1"/>
    </xf>
    <xf numFmtId="2" fontId="24" fillId="0" borderId="20" xfId="0" applyNumberFormat="1" applyFont="1" applyBorder="1" applyAlignment="1" applyProtection="1">
      <alignment horizontal="center" vertical="center" wrapText="1"/>
      <protection hidden="1"/>
    </xf>
    <xf numFmtId="2" fontId="24" fillId="0" borderId="24" xfId="0" applyNumberFormat="1" applyFont="1" applyBorder="1" applyAlignment="1" applyProtection="1">
      <alignment horizontal="center" vertical="center" wrapText="1"/>
      <protection hidden="1"/>
    </xf>
    <xf numFmtId="0" fontId="4" fillId="0" borderId="11" xfId="0" applyFont="1" applyBorder="1" applyAlignment="1" applyProtection="1">
      <alignment horizontal="right" vertical="center"/>
      <protection hidden="1"/>
    </xf>
    <xf numFmtId="0" fontId="4" fillId="0" borderId="1" xfId="0" applyFont="1" applyBorder="1" applyAlignment="1" applyProtection="1">
      <alignment horizontal="right" vertical="center"/>
      <protection hidden="1"/>
    </xf>
    <xf numFmtId="2" fontId="7" fillId="0" borderId="20" xfId="0" applyNumberFormat="1" applyFont="1" applyBorder="1" applyAlignment="1" applyProtection="1">
      <alignment horizontal="center" vertical="center" wrapText="1"/>
      <protection hidden="1"/>
    </xf>
    <xf numFmtId="2" fontId="7" fillId="0" borderId="24" xfId="0" applyNumberFormat="1" applyFont="1" applyBorder="1" applyAlignment="1" applyProtection="1">
      <alignment horizontal="center" vertical="center" wrapText="1"/>
      <protection hidden="1"/>
    </xf>
  </cellXfs>
  <cellStyles count="3">
    <cellStyle name="Normal" xfId="0" builtinId="0"/>
    <cellStyle name="Normal 2" xfId="1" xr:uid="{00000000-0005-0000-0000-000001000000}"/>
    <cellStyle name="Percent" xfId="2" builtinId="5"/>
  </cellStyles>
  <dxfs count="2">
    <dxf>
      <fill>
        <patternFill>
          <bgColor theme="0"/>
        </patternFill>
      </fill>
    </dxf>
    <dxf>
      <font>
        <condense val="0"/>
        <extend val="0"/>
        <color indexed="9"/>
      </font>
    </dxf>
  </dxfs>
  <tableStyles count="0" defaultTableStyle="TableStyleMedium2" defaultPivotStyle="PivotStyleLight16"/>
  <colors>
    <mruColors>
      <color rgb="FF99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331309</xdr:colOff>
      <xdr:row>1</xdr:row>
      <xdr:rowOff>0</xdr:rowOff>
    </xdr:from>
    <xdr:to>
      <xdr:col>12</xdr:col>
      <xdr:colOff>844831</xdr:colOff>
      <xdr:row>1</xdr:row>
      <xdr:rowOff>182217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6303484" y="238125"/>
          <a:ext cx="1494597" cy="182217"/>
        </a:xfrm>
        <a:prstGeom prst="roundRect">
          <a:avLst/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IN" sz="14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Old Tax Regime</a:t>
          </a:r>
          <a:endParaRPr lang="en-US" sz="1400">
            <a:effectLst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134470</xdr:colOff>
      <xdr:row>1</xdr:row>
      <xdr:rowOff>28575</xdr:rowOff>
    </xdr:from>
    <xdr:to>
      <xdr:col>12</xdr:col>
      <xdr:colOff>788626</xdr:colOff>
      <xdr:row>1</xdr:row>
      <xdr:rowOff>210792</xdr:rowOff>
    </xdr:to>
    <xdr:sp macro="" textlink="">
      <xdr:nvSpPr>
        <xdr:cNvPr id="3" name="Rounded Rectangle 1">
          <a:extLst>
            <a:ext uri="{FF2B5EF4-FFF2-40B4-BE49-F238E27FC236}">
              <a16:creationId xmlns:a16="http://schemas.microsoft.com/office/drawing/2014/main" id="{DC38ECF6-45D5-498F-BF47-E109887699F5}"/>
            </a:ext>
          </a:extLst>
        </xdr:cNvPr>
        <xdr:cNvSpPr/>
      </xdr:nvSpPr>
      <xdr:spPr>
        <a:xfrm>
          <a:off x="5963770" y="295275"/>
          <a:ext cx="1492356" cy="182217"/>
        </a:xfrm>
        <a:prstGeom prst="roundRect">
          <a:avLst/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IN" sz="14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New Tax Regime</a:t>
          </a:r>
          <a:endParaRPr lang="en-US" sz="1400"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2147B-278F-48F9-9727-F5B53ACA615C}">
  <sheetPr>
    <tabColor rgb="FF92D050"/>
  </sheetPr>
  <dimension ref="A1:G18"/>
  <sheetViews>
    <sheetView tabSelected="1" zoomScaleNormal="100" workbookViewId="0">
      <selection activeCell="E16" sqref="E16"/>
    </sheetView>
  </sheetViews>
  <sheetFormatPr defaultColWidth="0" defaultRowHeight="15" zeroHeight="1" x14ac:dyDescent="0.25"/>
  <cols>
    <col min="1" max="1" width="2.7109375" style="29" customWidth="1"/>
    <col min="2" max="2" width="21.5703125" style="29" customWidth="1"/>
    <col min="3" max="3" width="22.7109375" style="29" customWidth="1"/>
    <col min="4" max="4" width="20.5703125" style="29" bestFit="1" customWidth="1"/>
    <col min="5" max="5" width="22.7109375" style="29" customWidth="1"/>
    <col min="6" max="6" width="2.140625" style="29" customWidth="1"/>
    <col min="7" max="7" width="16.140625" style="29" hidden="1" customWidth="1"/>
    <col min="8" max="16384" width="9.140625" style="29" hidden="1"/>
  </cols>
  <sheetData>
    <row r="1" spans="1:6" ht="11.25" customHeight="1" thickBot="1" x14ac:dyDescent="0.3">
      <c r="A1" s="80"/>
      <c r="B1" s="80"/>
      <c r="C1" s="80"/>
      <c r="D1" s="80"/>
      <c r="E1" s="80"/>
      <c r="F1" s="80"/>
    </row>
    <row r="2" spans="1:6" ht="21" customHeight="1" x14ac:dyDescent="0.25">
      <c r="A2" s="80"/>
      <c r="B2" s="119" t="s">
        <v>127</v>
      </c>
      <c r="C2" s="120"/>
      <c r="D2" s="120"/>
      <c r="E2" s="121"/>
      <c r="F2" s="80"/>
    </row>
    <row r="3" spans="1:6" ht="18.75" customHeight="1" thickBot="1" x14ac:dyDescent="0.3">
      <c r="A3" s="80"/>
      <c r="B3" s="122" t="s">
        <v>223</v>
      </c>
      <c r="C3" s="123"/>
      <c r="D3" s="123"/>
      <c r="E3" s="124"/>
      <c r="F3" s="80"/>
    </row>
    <row r="4" spans="1:6" ht="8.25" customHeight="1" thickBot="1" x14ac:dyDescent="0.3">
      <c r="A4" s="80"/>
      <c r="F4" s="80"/>
    </row>
    <row r="5" spans="1:6" ht="21.95" customHeight="1" x14ac:dyDescent="0.25">
      <c r="A5" s="80"/>
      <c r="B5" s="81" t="s">
        <v>0</v>
      </c>
      <c r="C5" s="74" t="s">
        <v>235</v>
      </c>
      <c r="D5" s="84" t="s">
        <v>1</v>
      </c>
      <c r="E5" s="75" t="s">
        <v>117</v>
      </c>
      <c r="F5" s="80"/>
    </row>
    <row r="6" spans="1:6" ht="21.95" customHeight="1" x14ac:dyDescent="0.25">
      <c r="A6" s="80"/>
      <c r="B6" s="82" t="s">
        <v>3</v>
      </c>
      <c r="C6" s="71" t="s">
        <v>236</v>
      </c>
      <c r="D6" s="85" t="s">
        <v>2</v>
      </c>
      <c r="E6" s="76" t="s">
        <v>131</v>
      </c>
      <c r="F6" s="80"/>
    </row>
    <row r="7" spans="1:6" ht="21.95" customHeight="1" x14ac:dyDescent="0.25">
      <c r="A7" s="80"/>
      <c r="B7" s="82" t="s">
        <v>4</v>
      </c>
      <c r="C7" s="71" t="s">
        <v>237</v>
      </c>
      <c r="D7" s="85" t="s">
        <v>5</v>
      </c>
      <c r="E7" s="76"/>
      <c r="F7" s="80"/>
    </row>
    <row r="8" spans="1:6" ht="21.95" customHeight="1" x14ac:dyDescent="0.25">
      <c r="A8" s="80"/>
      <c r="B8" s="82" t="s">
        <v>6</v>
      </c>
      <c r="C8" s="72">
        <v>30460769466</v>
      </c>
      <c r="D8" s="85" t="s">
        <v>124</v>
      </c>
      <c r="E8" s="76" t="s">
        <v>236</v>
      </c>
      <c r="F8" s="80"/>
    </row>
    <row r="9" spans="1:6" ht="21.95" customHeight="1" x14ac:dyDescent="0.25">
      <c r="A9" s="80"/>
      <c r="B9" s="82" t="s">
        <v>29</v>
      </c>
      <c r="C9" s="71"/>
      <c r="D9" s="85" t="s">
        <v>128</v>
      </c>
      <c r="E9" s="76">
        <v>9829454198</v>
      </c>
      <c r="F9" s="80"/>
    </row>
    <row r="10" spans="1:6" ht="21.95" customHeight="1" x14ac:dyDescent="0.25">
      <c r="A10" s="80"/>
      <c r="B10" s="82" t="s">
        <v>221</v>
      </c>
      <c r="C10" s="110">
        <v>61300</v>
      </c>
      <c r="D10" s="85" t="s">
        <v>18</v>
      </c>
      <c r="E10" s="76" t="s">
        <v>118</v>
      </c>
      <c r="F10" s="80"/>
    </row>
    <row r="11" spans="1:6" ht="21.95" customHeight="1" x14ac:dyDescent="0.25">
      <c r="A11" s="80"/>
      <c r="B11" s="82" t="s">
        <v>126</v>
      </c>
      <c r="C11" s="73">
        <v>0.1</v>
      </c>
      <c r="D11" s="85" t="s">
        <v>195</v>
      </c>
      <c r="E11" s="76" t="s">
        <v>118</v>
      </c>
      <c r="F11" s="80"/>
    </row>
    <row r="12" spans="1:6" ht="21.95" customHeight="1" x14ac:dyDescent="0.25">
      <c r="A12" s="80"/>
      <c r="B12" s="82" t="s">
        <v>23</v>
      </c>
      <c r="C12" s="71" t="s">
        <v>118</v>
      </c>
      <c r="D12" s="85" t="s">
        <v>130</v>
      </c>
      <c r="E12" s="76">
        <v>12</v>
      </c>
      <c r="F12" s="80"/>
    </row>
    <row r="13" spans="1:6" ht="21.95" customHeight="1" x14ac:dyDescent="0.25">
      <c r="A13" s="80"/>
      <c r="B13" s="82" t="s">
        <v>148</v>
      </c>
      <c r="C13" s="71" t="s">
        <v>118</v>
      </c>
      <c r="D13" s="85" t="s">
        <v>122</v>
      </c>
      <c r="E13" s="77"/>
      <c r="F13" s="80"/>
    </row>
    <row r="14" spans="1:6" ht="28.5" customHeight="1" x14ac:dyDescent="0.25">
      <c r="A14" s="80"/>
      <c r="B14" s="82" t="s">
        <v>143</v>
      </c>
      <c r="C14" s="71">
        <v>7000</v>
      </c>
      <c r="D14" s="86" t="s">
        <v>149</v>
      </c>
      <c r="E14" s="76"/>
      <c r="F14" s="80"/>
    </row>
    <row r="15" spans="1:6" ht="21.95" customHeight="1" x14ac:dyDescent="0.25">
      <c r="A15" s="80"/>
      <c r="B15" s="82" t="s">
        <v>145</v>
      </c>
      <c r="C15" s="71">
        <v>0</v>
      </c>
      <c r="D15" s="86" t="s">
        <v>146</v>
      </c>
      <c r="E15" s="76">
        <v>0</v>
      </c>
      <c r="F15" s="80"/>
    </row>
    <row r="16" spans="1:6" ht="21.95" customHeight="1" x14ac:dyDescent="0.25">
      <c r="A16" s="80"/>
      <c r="B16" s="82" t="s">
        <v>196</v>
      </c>
      <c r="C16" s="71" t="s">
        <v>129</v>
      </c>
      <c r="D16" s="85" t="s">
        <v>147</v>
      </c>
      <c r="E16" s="76">
        <v>700</v>
      </c>
      <c r="F16" s="80"/>
    </row>
    <row r="17" spans="1:6" ht="25.5" customHeight="1" thickBot="1" x14ac:dyDescent="0.3">
      <c r="A17" s="80"/>
      <c r="B17" s="83" t="s">
        <v>150</v>
      </c>
      <c r="C17" s="78">
        <v>0</v>
      </c>
      <c r="D17" s="87" t="s">
        <v>151</v>
      </c>
      <c r="E17" s="79">
        <v>500</v>
      </c>
      <c r="F17" s="80"/>
    </row>
    <row r="18" spans="1:6" ht="9.75" customHeight="1" x14ac:dyDescent="0.25">
      <c r="A18" s="80"/>
      <c r="B18" s="80"/>
      <c r="C18" s="80"/>
      <c r="D18" s="80"/>
      <c r="E18" s="80"/>
      <c r="F18" s="80"/>
    </row>
  </sheetData>
  <sheetProtection algorithmName="SHA-512" hashValue="NJcOYNgCmkb/Ign3fk2LkwBrA22LZ3uEbFzWCkT/Xi1JFu6Wm0GbM3ktRKjz9Hm4wQVLLptJj3tU7JJek4S6vg==" saltValue="ngqpYi3RdhDEKSZyL400iA==" spinCount="100000" sheet="1" selectLockedCells="1"/>
  <mergeCells count="2">
    <mergeCell ref="B2:E2"/>
    <mergeCell ref="B3:E3"/>
  </mergeCells>
  <dataValidations count="3">
    <dataValidation type="list" allowBlank="1" showInputMessage="1" showErrorMessage="1" sqref="E10:E11 C12:C13 C16" xr:uid="{8D828ADF-3ABA-4677-B936-132D77EDC8F1}">
      <formula1>"YES,NO"</formula1>
    </dataValidation>
    <dataValidation type="list" allowBlank="1" showInputMessage="1" showErrorMessage="1" sqref="C11" xr:uid="{10D74849-5126-42D8-A3A7-9CF6B43E6F39}">
      <formula1>"10%,20%"</formula1>
    </dataValidation>
    <dataValidation type="list" allowBlank="1" showInputMessage="1" showErrorMessage="1" sqref="E16" xr:uid="{9A2A4CA2-E8C2-4769-9FCC-1D2DB377F439}">
      <formula1>"0,700,1400,2100"</formula1>
    </dataValidation>
  </dataValidations>
  <pageMargins left="0.5" right="0.5" top="0.5" bottom="0.5" header="0" footer="0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357F5A1-9578-4B48-AFE5-BA2B6292067E}">
          <x14:formula1>
            <xm:f>'GA 55A'!$A$8:$A$19</xm:f>
          </x14:formula1>
          <xm:sqref>E13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0000"/>
  </sheetPr>
  <dimension ref="A1:AJ31"/>
  <sheetViews>
    <sheetView view="pageBreakPreview" zoomScale="85" zoomScaleNormal="85" zoomScaleSheetLayoutView="85" workbookViewId="0">
      <pane ySplit="7" topLeftCell="A8" activePane="bottomLeft" state="frozen"/>
      <selection activeCell="B1" sqref="B1"/>
      <selection pane="bottomLeft" activeCell="Q9" sqref="Q9"/>
    </sheetView>
  </sheetViews>
  <sheetFormatPr defaultColWidth="9.140625" defaultRowHeight="14.25" x14ac:dyDescent="0.2"/>
  <cols>
    <col min="1" max="1" width="13.85546875" style="30" customWidth="1"/>
    <col min="2" max="2" width="8.5703125" style="30" bestFit="1" customWidth="1"/>
    <col min="3" max="3" width="8.7109375" style="30" customWidth="1"/>
    <col min="4" max="4" width="7.7109375" style="30" customWidth="1"/>
    <col min="5" max="5" width="6.85546875" style="30" bestFit="1" customWidth="1"/>
    <col min="6" max="9" width="6.7109375" style="30" customWidth="1"/>
    <col min="10" max="10" width="9.140625" style="30" customWidth="1"/>
    <col min="11" max="11" width="7" style="30" bestFit="1" customWidth="1"/>
    <col min="12" max="12" width="6.42578125" style="30" customWidth="1"/>
    <col min="13" max="13" width="5.85546875" style="30" customWidth="1"/>
    <col min="14" max="14" width="8.42578125" style="30" customWidth="1"/>
    <col min="15" max="15" width="7" style="30" customWidth="1"/>
    <col min="16" max="16" width="6.140625" style="30" customWidth="1"/>
    <col min="17" max="17" width="6.5703125" style="30" customWidth="1"/>
    <col min="18" max="18" width="7.140625" style="30" customWidth="1"/>
    <col min="19" max="19" width="5.28515625" style="30" customWidth="1"/>
    <col min="20" max="21" width="5.42578125" style="30" customWidth="1"/>
    <col min="22" max="22" width="6.85546875" style="30" customWidth="1"/>
    <col min="23" max="23" width="8.42578125" style="30" customWidth="1"/>
    <col min="24" max="24" width="9.7109375" style="30" customWidth="1"/>
    <col min="25" max="25" width="10.7109375" style="30" customWidth="1"/>
    <col min="26" max="32" width="9.140625" style="30" customWidth="1"/>
    <col min="33" max="33" width="9.5703125" style="30" customWidth="1"/>
    <col min="34" max="38" width="9.140625" style="30" customWidth="1"/>
    <col min="39" max="16384" width="9.140625" style="30"/>
  </cols>
  <sheetData>
    <row r="1" spans="1:36" ht="27" customHeight="1" x14ac:dyDescent="0.2">
      <c r="A1" s="134" t="str">
        <f>Master!B2</f>
        <v>Office of the Principal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</row>
    <row r="2" spans="1:36" ht="18" customHeight="1" x14ac:dyDescent="0.2">
      <c r="A2" s="135" t="s">
        <v>223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31"/>
    </row>
    <row r="3" spans="1:36" ht="5.25" customHeight="1" x14ac:dyDescent="0.2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</row>
    <row r="4" spans="1:36" s="33" customFormat="1" ht="27.95" customHeight="1" x14ac:dyDescent="0.25">
      <c r="A4" s="130" t="s">
        <v>157</v>
      </c>
      <c r="B4" s="131"/>
      <c r="C4" s="127" t="str">
        <f>Master!C5</f>
        <v>MOHIT SINGH</v>
      </c>
      <c r="D4" s="128"/>
      <c r="E4" s="128"/>
      <c r="F4" s="129"/>
      <c r="G4" s="130" t="s">
        <v>158</v>
      </c>
      <c r="H4" s="131"/>
      <c r="I4" s="127" t="str">
        <f>Master!E5</f>
        <v>Lecturer</v>
      </c>
      <c r="J4" s="129"/>
      <c r="K4" s="130" t="s">
        <v>159</v>
      </c>
      <c r="L4" s="131"/>
      <c r="M4" s="127" t="str">
        <f>Master!E6</f>
        <v>L-12</v>
      </c>
      <c r="N4" s="128"/>
      <c r="O4" s="129"/>
      <c r="P4" s="130" t="s">
        <v>161</v>
      </c>
      <c r="Q4" s="131"/>
      <c r="R4" s="127" t="str">
        <f>Master!C6</f>
        <v>RJBW201708008082</v>
      </c>
      <c r="S4" s="128"/>
      <c r="T4" s="128"/>
      <c r="U4" s="129"/>
      <c r="V4" s="130" t="s">
        <v>160</v>
      </c>
      <c r="W4" s="131"/>
      <c r="X4" s="132">
        <f>Master!C8</f>
        <v>30460769466</v>
      </c>
      <c r="Y4" s="133"/>
      <c r="AA4" s="34"/>
    </row>
    <row r="5" spans="1:36" s="33" customFormat="1" ht="27.95" customHeight="1" x14ac:dyDescent="0.25">
      <c r="A5" s="130" t="s">
        <v>162</v>
      </c>
      <c r="B5" s="131"/>
      <c r="C5" s="127" t="str">
        <f>Master!C7</f>
        <v>EKSPS8037K</v>
      </c>
      <c r="D5" s="128"/>
      <c r="E5" s="128"/>
      <c r="F5" s="129"/>
      <c r="G5" s="130" t="s">
        <v>29</v>
      </c>
      <c r="H5" s="131"/>
      <c r="I5" s="127">
        <f>Master!C9</f>
        <v>0</v>
      </c>
      <c r="J5" s="129"/>
      <c r="K5" s="130" t="s">
        <v>154</v>
      </c>
      <c r="L5" s="131"/>
      <c r="M5" s="127" t="str">
        <f>Master!E8</f>
        <v>RJBW201708008082</v>
      </c>
      <c r="N5" s="128"/>
      <c r="O5" s="129"/>
      <c r="P5" s="130" t="s">
        <v>155</v>
      </c>
      <c r="Q5" s="131"/>
      <c r="R5" s="127">
        <f>Master!E7</f>
        <v>0</v>
      </c>
      <c r="S5" s="128"/>
      <c r="T5" s="128"/>
      <c r="U5" s="129"/>
      <c r="V5" s="130" t="s">
        <v>156</v>
      </c>
      <c r="W5" s="131"/>
      <c r="X5" s="127">
        <f>Master!E9</f>
        <v>9829454198</v>
      </c>
      <c r="Y5" s="129"/>
    </row>
    <row r="6" spans="1:36" ht="5.25" customHeight="1" thickBot="1" x14ac:dyDescent="0.25"/>
    <row r="7" spans="1:36" ht="54" customHeight="1" x14ac:dyDescent="0.2">
      <c r="A7" s="35" t="s">
        <v>7</v>
      </c>
      <c r="B7" s="36" t="s">
        <v>8</v>
      </c>
      <c r="C7" s="36" t="s">
        <v>9</v>
      </c>
      <c r="D7" s="36" t="s">
        <v>10</v>
      </c>
      <c r="E7" s="36" t="s">
        <v>23</v>
      </c>
      <c r="F7" s="67" t="s">
        <v>11</v>
      </c>
      <c r="G7" s="67" t="s">
        <v>12</v>
      </c>
      <c r="H7" s="67" t="s">
        <v>30</v>
      </c>
      <c r="I7" s="68" t="s">
        <v>116</v>
      </c>
      <c r="J7" s="38" t="s">
        <v>13</v>
      </c>
      <c r="K7" s="39" t="s">
        <v>14</v>
      </c>
      <c r="L7" s="36" t="s">
        <v>31</v>
      </c>
      <c r="M7" s="36" t="s">
        <v>133</v>
      </c>
      <c r="N7" s="40" t="str">
        <f>IF(Master!E10="Yes","GPF-2004","GPF")</f>
        <v>GPF-2004</v>
      </c>
      <c r="O7" s="36" t="s">
        <v>15</v>
      </c>
      <c r="P7" s="36" t="s">
        <v>132</v>
      </c>
      <c r="Q7" s="36" t="s">
        <v>16</v>
      </c>
      <c r="R7" s="36" t="s">
        <v>17</v>
      </c>
      <c r="S7" s="36" t="s">
        <v>32</v>
      </c>
      <c r="T7" s="67" t="s">
        <v>152</v>
      </c>
      <c r="U7" s="67" t="s">
        <v>153</v>
      </c>
      <c r="V7" s="36" t="s">
        <v>19</v>
      </c>
      <c r="W7" s="37" t="s">
        <v>20</v>
      </c>
      <c r="X7" s="38" t="s">
        <v>21</v>
      </c>
      <c r="Y7" s="41" t="s">
        <v>22</v>
      </c>
    </row>
    <row r="8" spans="1:36" ht="20.100000000000001" customHeight="1" x14ac:dyDescent="0.2">
      <c r="A8" s="42">
        <v>45717</v>
      </c>
      <c r="B8" s="43">
        <f>IF(Master!C10="","",Master!C10)</f>
        <v>61300</v>
      </c>
      <c r="C8" s="43">
        <f>IF(Master!C16="YES",0,ROUND(IF(B8="",0,B8*53%),0))</f>
        <v>32489</v>
      </c>
      <c r="D8" s="43">
        <f>IF(Master!$C$16="yes",0,ROUND(IF(B8="",0,B8*Master!$C$11),0))</f>
        <v>6130</v>
      </c>
      <c r="E8" s="43"/>
      <c r="F8" s="44">
        <f>IF(Master!E15="","",Master!E15)</f>
        <v>0</v>
      </c>
      <c r="G8" s="44">
        <v>0</v>
      </c>
      <c r="H8" s="44">
        <f>IF(Master!C15="","",Master!C15)</f>
        <v>0</v>
      </c>
      <c r="I8" s="45">
        <v>0</v>
      </c>
      <c r="J8" s="46">
        <f t="shared" ref="J8:J27" si="0">SUM(B8:I8)</f>
        <v>99919</v>
      </c>
      <c r="K8" s="47">
        <f>IF(Master!C14="","",Master!C14)</f>
        <v>7000</v>
      </c>
      <c r="L8" s="44"/>
      <c r="M8" s="44"/>
      <c r="N8" s="43">
        <f>IF(Master!$E$14&gt;0,Master!$E$14,IF(B8&lt;23101,1450,IF(B8&lt;28501,1625,IF(B8&lt;38501,2100,IF(B8&lt;51501,2850,IF(B8&lt;62001,3575,IF(B8&lt;72001,4200,IF(B8&lt;80001,4800,IF(B8&lt;116001,6150,IF(B8&lt;167001,8900,10500))))))))))</f>
        <v>3575</v>
      </c>
      <c r="O8" s="44">
        <v>0</v>
      </c>
      <c r="P8" s="43">
        <f>IF(B8&lt;18001,265,IF(B8&lt;33501,440,IF(B8&lt;54001,658,875)))</f>
        <v>875</v>
      </c>
      <c r="Q8" s="44"/>
      <c r="R8" s="44">
        <f>Master!C17</f>
        <v>0</v>
      </c>
      <c r="S8" s="44"/>
      <c r="T8" s="44"/>
      <c r="U8" s="44"/>
      <c r="V8" s="44">
        <v>1000</v>
      </c>
      <c r="W8" s="48">
        <f t="shared" ref="W8:W16" si="1">SUM(K8:V8)</f>
        <v>12450</v>
      </c>
      <c r="X8" s="46">
        <f t="shared" ref="X8:X27" si="2">J8-W8</f>
        <v>87469</v>
      </c>
      <c r="Y8" s="49"/>
      <c r="AF8" s="89">
        <v>45717</v>
      </c>
      <c r="AG8" s="90">
        <f>Master!C10</f>
        <v>61300</v>
      </c>
      <c r="AH8" s="91">
        <v>0.53</v>
      </c>
      <c r="AI8" s="92">
        <f t="shared" ref="AI8:AI19" si="3">C8</f>
        <v>32489</v>
      </c>
      <c r="AJ8" s="90">
        <v>0</v>
      </c>
    </row>
    <row r="9" spans="1:36" ht="20.100000000000001" customHeight="1" x14ac:dyDescent="0.2">
      <c r="A9" s="42">
        <v>45748</v>
      </c>
      <c r="B9" s="43">
        <f>B8</f>
        <v>61300</v>
      </c>
      <c r="C9" s="43">
        <f>IF(Master!C17="YES",0,ROUND(IF(B9="",0,B9*55%),0))</f>
        <v>33715</v>
      </c>
      <c r="D9" s="43">
        <f>IF(Master!$C$16="yes",0,ROUND(IF(B9="",0,B9*Master!$C$11),0))</f>
        <v>6130</v>
      </c>
      <c r="E9" s="43"/>
      <c r="F9" s="43">
        <f t="shared" ref="F9:F19" si="4">F8</f>
        <v>0</v>
      </c>
      <c r="G9" s="43">
        <f t="shared" ref="G9:G19" si="5">G8</f>
        <v>0</v>
      </c>
      <c r="H9" s="43">
        <f t="shared" ref="H9:H19" si="6">H8</f>
        <v>0</v>
      </c>
      <c r="I9" s="51">
        <f t="shared" ref="I9:I19" si="7">I8</f>
        <v>0</v>
      </c>
      <c r="J9" s="46">
        <f t="shared" si="0"/>
        <v>101145</v>
      </c>
      <c r="K9" s="52">
        <f t="shared" ref="K9:L19" si="8">K8</f>
        <v>7000</v>
      </c>
      <c r="L9" s="43">
        <f>L8</f>
        <v>0</v>
      </c>
      <c r="M9" s="43">
        <f t="shared" ref="M9:M19" si="9">M8</f>
        <v>0</v>
      </c>
      <c r="N9" s="43">
        <f>IF(Master!$E$14&gt;0,Master!$E$14,IF(B9&lt;23101,1450,IF(B9&lt;28501,1625,IF(B9&lt;38501,2100,IF(B9&lt;51501,2850,IF(B9&lt;62001,3575,IF(B9&lt;72001,4200,IF(B9&lt;80001,4800,IF(B9&lt;116001,6150,IF(B9&lt;167001,8900,10500))))))))))</f>
        <v>3575</v>
      </c>
      <c r="O9" s="43">
        <f t="shared" ref="O9:O19" si="10">O8</f>
        <v>0</v>
      </c>
      <c r="P9" s="43">
        <f t="shared" ref="P9:P19" si="11">IF(B9&lt;18001,265,IF(B9&lt;33501,440,IF(B9&lt;54001,658,875)))</f>
        <v>875</v>
      </c>
      <c r="Q9" s="44">
        <f>Master!E16</f>
        <v>700</v>
      </c>
      <c r="R9" s="43">
        <f t="shared" ref="R9:R19" si="12">R8</f>
        <v>0</v>
      </c>
      <c r="S9" s="44"/>
      <c r="T9" s="43">
        <f t="shared" ref="T9:T19" si="13">T8</f>
        <v>0</v>
      </c>
      <c r="U9" s="43"/>
      <c r="V9" s="43">
        <f t="shared" ref="V9:V19" si="14">V8</f>
        <v>1000</v>
      </c>
      <c r="W9" s="48">
        <f t="shared" si="1"/>
        <v>13150</v>
      </c>
      <c r="X9" s="46">
        <f t="shared" si="2"/>
        <v>87995</v>
      </c>
      <c r="Y9" s="49"/>
      <c r="AF9" s="89">
        <v>45748</v>
      </c>
      <c r="AG9" s="90">
        <f t="shared" ref="AG9:AG19" si="15">B9</f>
        <v>61300</v>
      </c>
      <c r="AH9" s="91">
        <v>0.55000000000000004</v>
      </c>
      <c r="AI9" s="92">
        <f t="shared" si="3"/>
        <v>33715</v>
      </c>
      <c r="AJ9" s="90">
        <v>0</v>
      </c>
    </row>
    <row r="10" spans="1:36" ht="20.100000000000001" customHeight="1" x14ac:dyDescent="0.2">
      <c r="A10" s="42">
        <v>45778</v>
      </c>
      <c r="B10" s="43">
        <f>B9</f>
        <v>61300</v>
      </c>
      <c r="C10" s="43">
        <f>IF(Master!C18="YES",0,ROUND(IF(B10="",0,B10*55%),0))</f>
        <v>33715</v>
      </c>
      <c r="D10" s="43">
        <f>IF(Master!$C$16="yes",0,ROUND(IF(B10="",0,B10*Master!$C$11),0))</f>
        <v>6130</v>
      </c>
      <c r="E10" s="43"/>
      <c r="F10" s="43">
        <f t="shared" si="4"/>
        <v>0</v>
      </c>
      <c r="G10" s="43">
        <f t="shared" si="5"/>
        <v>0</v>
      </c>
      <c r="H10" s="43">
        <f t="shared" si="6"/>
        <v>0</v>
      </c>
      <c r="I10" s="51">
        <f t="shared" si="7"/>
        <v>0</v>
      </c>
      <c r="J10" s="46">
        <f t="shared" si="0"/>
        <v>101145</v>
      </c>
      <c r="K10" s="52">
        <f t="shared" si="8"/>
        <v>7000</v>
      </c>
      <c r="L10" s="43">
        <f t="shared" si="8"/>
        <v>0</v>
      </c>
      <c r="M10" s="43">
        <f t="shared" si="9"/>
        <v>0</v>
      </c>
      <c r="N10" s="43">
        <f>IF(Master!$E$14&gt;0,Master!$E$14,IF(B10&lt;23101,1450,IF(B10&lt;28501,1625,IF(B10&lt;38501,2100,IF(B10&lt;51501,2850,IF(B10&lt;62001,3575,IF(B10&lt;72001,4200,IF(B10&lt;80001,4800,IF(B10&lt;116001,6150,IF(B10&lt;167001,8900,10500))))))))))</f>
        <v>3575</v>
      </c>
      <c r="O10" s="43">
        <f t="shared" si="10"/>
        <v>0</v>
      </c>
      <c r="P10" s="43">
        <f t="shared" si="11"/>
        <v>875</v>
      </c>
      <c r="Q10" s="44"/>
      <c r="R10" s="43">
        <f t="shared" si="12"/>
        <v>0</v>
      </c>
      <c r="S10" s="44"/>
      <c r="T10" s="43">
        <f t="shared" si="13"/>
        <v>0</v>
      </c>
      <c r="U10" s="43"/>
      <c r="V10" s="43">
        <f t="shared" si="14"/>
        <v>1000</v>
      </c>
      <c r="W10" s="48">
        <f t="shared" si="1"/>
        <v>12450</v>
      </c>
      <c r="X10" s="46">
        <f t="shared" si="2"/>
        <v>88695</v>
      </c>
      <c r="Y10" s="49"/>
      <c r="AF10" s="89">
        <v>45778</v>
      </c>
      <c r="AG10" s="90">
        <f t="shared" si="15"/>
        <v>61300</v>
      </c>
      <c r="AH10" s="91">
        <v>0.55000000000000004</v>
      </c>
      <c r="AI10" s="92">
        <f t="shared" si="3"/>
        <v>33715</v>
      </c>
      <c r="AJ10" s="93"/>
    </row>
    <row r="11" spans="1:36" ht="20.100000000000001" customHeight="1" x14ac:dyDescent="0.2">
      <c r="A11" s="42">
        <v>45809</v>
      </c>
      <c r="B11" s="43">
        <f>B10</f>
        <v>61300</v>
      </c>
      <c r="C11" s="43">
        <f>IF(Master!C19="YES",0,ROUND(IF(B11="",0,B11*55%),0))</f>
        <v>33715</v>
      </c>
      <c r="D11" s="43">
        <f>IF(Master!$C$16="yes",0,ROUND(IF(B11="",0,B11*Master!$C$11),0))</f>
        <v>6130</v>
      </c>
      <c r="E11" s="43"/>
      <c r="F11" s="43">
        <f t="shared" si="4"/>
        <v>0</v>
      </c>
      <c r="G11" s="43">
        <f t="shared" si="5"/>
        <v>0</v>
      </c>
      <c r="H11" s="43">
        <f t="shared" si="6"/>
        <v>0</v>
      </c>
      <c r="I11" s="51">
        <f t="shared" si="7"/>
        <v>0</v>
      </c>
      <c r="J11" s="46">
        <f t="shared" si="0"/>
        <v>101145</v>
      </c>
      <c r="K11" s="52">
        <f t="shared" si="8"/>
        <v>7000</v>
      </c>
      <c r="L11" s="43">
        <f t="shared" si="8"/>
        <v>0</v>
      </c>
      <c r="M11" s="43">
        <f t="shared" si="9"/>
        <v>0</v>
      </c>
      <c r="N11" s="43">
        <f>IF(Master!$E$14&gt;0,Master!$E$14,IF(B11&lt;23101,1450,IF(B11&lt;28501,1625,IF(B11&lt;38501,2100,IF(B11&lt;51501,2850,IF(B11&lt;62001,3575,IF(B11&lt;72001,4200,IF(B11&lt;80001,4800,IF(B11&lt;116001,6150,IF(B11&lt;167001,8900,10500))))))))))</f>
        <v>3575</v>
      </c>
      <c r="O11" s="43">
        <f t="shared" si="10"/>
        <v>0</v>
      </c>
      <c r="P11" s="43">
        <f t="shared" si="11"/>
        <v>875</v>
      </c>
      <c r="Q11" s="44"/>
      <c r="R11" s="43">
        <f t="shared" si="12"/>
        <v>0</v>
      </c>
      <c r="S11" s="44"/>
      <c r="T11" s="43">
        <f t="shared" si="13"/>
        <v>0</v>
      </c>
      <c r="U11" s="43"/>
      <c r="V11" s="43">
        <f t="shared" si="14"/>
        <v>1000</v>
      </c>
      <c r="W11" s="48">
        <f t="shared" si="1"/>
        <v>12450</v>
      </c>
      <c r="X11" s="46">
        <f t="shared" si="2"/>
        <v>88695</v>
      </c>
      <c r="Y11" s="49"/>
      <c r="AF11" s="89">
        <v>45809</v>
      </c>
      <c r="AG11" s="90">
        <f t="shared" si="15"/>
        <v>61300</v>
      </c>
      <c r="AH11" s="91">
        <v>0.55000000000000004</v>
      </c>
      <c r="AI11" s="92">
        <f t="shared" si="3"/>
        <v>33715</v>
      </c>
      <c r="AJ11" s="93"/>
    </row>
    <row r="12" spans="1:36" ht="20.100000000000001" customHeight="1" x14ac:dyDescent="0.2">
      <c r="A12" s="42">
        <v>45839</v>
      </c>
      <c r="B12" s="43">
        <f>IF(Master!$C$16="yes",B11,MROUND(B11*1.03,100))</f>
        <v>63100</v>
      </c>
      <c r="C12" s="43">
        <f>IF(Master!C20="YES",0,ROUND(IF(B12="",0,B12*55%),0))</f>
        <v>34705</v>
      </c>
      <c r="D12" s="43">
        <f>IF(Master!$C$16="yes",0,ROUND(IF(B12="",0,B12*Master!$C$11),0))</f>
        <v>6310</v>
      </c>
      <c r="E12" s="43"/>
      <c r="F12" s="43">
        <f t="shared" si="4"/>
        <v>0</v>
      </c>
      <c r="G12" s="43">
        <f t="shared" si="5"/>
        <v>0</v>
      </c>
      <c r="H12" s="43">
        <f t="shared" si="6"/>
        <v>0</v>
      </c>
      <c r="I12" s="51">
        <f t="shared" si="7"/>
        <v>0</v>
      </c>
      <c r="J12" s="46">
        <f t="shared" si="0"/>
        <v>104115</v>
      </c>
      <c r="K12" s="52">
        <f t="shared" si="8"/>
        <v>7000</v>
      </c>
      <c r="L12" s="43">
        <f t="shared" si="8"/>
        <v>0</v>
      </c>
      <c r="M12" s="43">
        <f t="shared" si="9"/>
        <v>0</v>
      </c>
      <c r="N12" s="43">
        <f>IF(Master!$E$14&gt;0,Master!$E$14,IF(B12&lt;23101,1450,IF(B12&lt;28501,1625,IF(B12&lt;38501,2100,IF(B12&lt;51501,2850,IF(B12&lt;62001,3575,IF(B12&lt;72001,4200,IF(B12&lt;80001,4800,IF(B12&lt;116001,6150,IF(B12&lt;167001,8900,10500))))))))))</f>
        <v>4200</v>
      </c>
      <c r="O12" s="43">
        <f t="shared" si="10"/>
        <v>0</v>
      </c>
      <c r="P12" s="43">
        <f t="shared" si="11"/>
        <v>875</v>
      </c>
      <c r="Q12" s="44"/>
      <c r="R12" s="43">
        <f t="shared" si="12"/>
        <v>0</v>
      </c>
      <c r="S12" s="44"/>
      <c r="T12" s="43">
        <f t="shared" si="13"/>
        <v>0</v>
      </c>
      <c r="U12" s="43"/>
      <c r="V12" s="43">
        <f t="shared" si="14"/>
        <v>1000</v>
      </c>
      <c r="W12" s="48">
        <f t="shared" si="1"/>
        <v>13075</v>
      </c>
      <c r="X12" s="46">
        <f t="shared" si="2"/>
        <v>91040</v>
      </c>
      <c r="Y12" s="49"/>
      <c r="AF12" s="89">
        <v>45839</v>
      </c>
      <c r="AG12" s="90">
        <f t="shared" si="15"/>
        <v>63100</v>
      </c>
      <c r="AH12" s="91">
        <v>0.55000000000000004</v>
      </c>
      <c r="AI12" s="92">
        <f t="shared" si="3"/>
        <v>34705</v>
      </c>
      <c r="AJ12" s="90">
        <f>ROUND(AG12/2*3%,0)</f>
        <v>947</v>
      </c>
    </row>
    <row r="13" spans="1:36" ht="20.100000000000001" customHeight="1" x14ac:dyDescent="0.2">
      <c r="A13" s="42">
        <v>45870</v>
      </c>
      <c r="B13" s="43">
        <f t="shared" ref="B13:B19" si="16">B12</f>
        <v>63100</v>
      </c>
      <c r="C13" s="43">
        <f>IF(Master!C21="YES",0,ROUND(IF(B13="",0,B13*55%),0))</f>
        <v>34705</v>
      </c>
      <c r="D13" s="43">
        <f>IF(Master!$C$16="yes",0,ROUND(IF(B13="",0,B13*Master!$C$11),0))</f>
        <v>6310</v>
      </c>
      <c r="E13" s="43"/>
      <c r="F13" s="43">
        <f t="shared" si="4"/>
        <v>0</v>
      </c>
      <c r="G13" s="43">
        <f t="shared" si="5"/>
        <v>0</v>
      </c>
      <c r="H13" s="43">
        <f t="shared" si="6"/>
        <v>0</v>
      </c>
      <c r="I13" s="51">
        <f t="shared" si="7"/>
        <v>0</v>
      </c>
      <c r="J13" s="46">
        <f t="shared" si="0"/>
        <v>104115</v>
      </c>
      <c r="K13" s="52">
        <f t="shared" si="8"/>
        <v>7000</v>
      </c>
      <c r="L13" s="43">
        <f t="shared" si="8"/>
        <v>0</v>
      </c>
      <c r="M13" s="43">
        <f t="shared" si="9"/>
        <v>0</v>
      </c>
      <c r="N13" s="43">
        <f>IF(Master!$E$14&gt;0,Master!$E$14,IF(B13&lt;23101,1450,IF(B13&lt;28501,1625,IF(B13&lt;38501,2100,IF(B13&lt;51501,2850,IF(B13&lt;62001,3575,IF(B13&lt;72001,4200,IF(B13&lt;80001,4800,IF(B13&lt;116001,6150,IF(B13&lt;167001,8900,10500))))))))))</f>
        <v>4200</v>
      </c>
      <c r="O13" s="43">
        <f t="shared" si="10"/>
        <v>0</v>
      </c>
      <c r="P13" s="43">
        <f t="shared" si="11"/>
        <v>875</v>
      </c>
      <c r="Q13" s="44"/>
      <c r="R13" s="43">
        <f t="shared" si="12"/>
        <v>0</v>
      </c>
      <c r="S13" s="44"/>
      <c r="T13" s="43">
        <f t="shared" si="13"/>
        <v>0</v>
      </c>
      <c r="U13" s="43"/>
      <c r="V13" s="43">
        <f t="shared" si="14"/>
        <v>1000</v>
      </c>
      <c r="W13" s="48">
        <f t="shared" si="1"/>
        <v>13075</v>
      </c>
      <c r="X13" s="46">
        <f t="shared" si="2"/>
        <v>91040</v>
      </c>
      <c r="Y13" s="49"/>
      <c r="AF13" s="89">
        <v>45870</v>
      </c>
      <c r="AG13" s="90">
        <f t="shared" si="15"/>
        <v>63100</v>
      </c>
      <c r="AH13" s="91">
        <v>0.55000000000000004</v>
      </c>
      <c r="AI13" s="92">
        <f t="shared" si="3"/>
        <v>34705</v>
      </c>
      <c r="AJ13" s="90">
        <f t="shared" ref="AJ13:AJ15" si="17">ROUND(AG13/2*3%,0)</f>
        <v>947</v>
      </c>
    </row>
    <row r="14" spans="1:36" ht="20.100000000000001" customHeight="1" x14ac:dyDescent="0.2">
      <c r="A14" s="42">
        <v>45901</v>
      </c>
      <c r="B14" s="43">
        <f t="shared" si="16"/>
        <v>63100</v>
      </c>
      <c r="C14" s="43">
        <f>IF(Master!C22="YES",0,ROUND(IF(B14="",0,B14*55%),0))</f>
        <v>34705</v>
      </c>
      <c r="D14" s="43">
        <f>IF(Master!$C$16="yes",0,ROUND(IF(B14="",0,B14*Master!$C$11),0))</f>
        <v>6310</v>
      </c>
      <c r="E14" s="43"/>
      <c r="F14" s="43">
        <f t="shared" si="4"/>
        <v>0</v>
      </c>
      <c r="G14" s="43">
        <f t="shared" si="5"/>
        <v>0</v>
      </c>
      <c r="H14" s="43">
        <f t="shared" si="6"/>
        <v>0</v>
      </c>
      <c r="I14" s="51">
        <f t="shared" si="7"/>
        <v>0</v>
      </c>
      <c r="J14" s="46">
        <f t="shared" si="0"/>
        <v>104115</v>
      </c>
      <c r="K14" s="52">
        <f t="shared" si="8"/>
        <v>7000</v>
      </c>
      <c r="L14" s="43">
        <f t="shared" si="8"/>
        <v>0</v>
      </c>
      <c r="M14" s="43">
        <f t="shared" si="9"/>
        <v>0</v>
      </c>
      <c r="N14" s="43">
        <f>IF(Master!$E$14&gt;0,Master!$E$14,IF(B14&lt;23101,1450,IF(B14&lt;28501,1625,IF(B14&lt;38501,2100,IF(B14&lt;51501,2850,IF(B14&lt;62001,3575,IF(B14&lt;72001,4200,IF(B14&lt;80001,4800,IF(B14&lt;116001,6150,IF(B14&lt;167001,8900,10500))))))))))</f>
        <v>4200</v>
      </c>
      <c r="O14" s="43">
        <f t="shared" si="10"/>
        <v>0</v>
      </c>
      <c r="P14" s="43">
        <f t="shared" si="11"/>
        <v>875</v>
      </c>
      <c r="Q14" s="44"/>
      <c r="R14" s="43">
        <f t="shared" si="12"/>
        <v>0</v>
      </c>
      <c r="S14" s="44"/>
      <c r="T14" s="43">
        <f t="shared" si="13"/>
        <v>0</v>
      </c>
      <c r="U14" s="43"/>
      <c r="V14" s="43">
        <f t="shared" si="14"/>
        <v>1000</v>
      </c>
      <c r="W14" s="48">
        <f t="shared" si="1"/>
        <v>13075</v>
      </c>
      <c r="X14" s="46">
        <f t="shared" si="2"/>
        <v>91040</v>
      </c>
      <c r="Y14" s="49"/>
      <c r="AB14" s="50" t="str">
        <f>IF(AR11="","",AR11)</f>
        <v/>
      </c>
      <c r="AF14" s="89">
        <v>45901</v>
      </c>
      <c r="AG14" s="90">
        <f t="shared" si="15"/>
        <v>63100</v>
      </c>
      <c r="AH14" s="91">
        <v>0.55000000000000004</v>
      </c>
      <c r="AI14" s="92">
        <f t="shared" si="3"/>
        <v>34705</v>
      </c>
      <c r="AJ14" s="90">
        <f t="shared" si="17"/>
        <v>947</v>
      </c>
    </row>
    <row r="15" spans="1:36" ht="20.100000000000001" customHeight="1" x14ac:dyDescent="0.2">
      <c r="A15" s="42">
        <v>45931</v>
      </c>
      <c r="B15" s="43">
        <f t="shared" si="16"/>
        <v>63100</v>
      </c>
      <c r="C15" s="43">
        <f>IF(Master!C23="YES",0,ROUND(IF(B15="",0,B15*58%),0))</f>
        <v>36598</v>
      </c>
      <c r="D15" s="43">
        <f>IF(Master!$C$16="yes",0,ROUND(IF(B15="",0,B15*Master!$C$11),0))</f>
        <v>6310</v>
      </c>
      <c r="E15" s="43"/>
      <c r="F15" s="43">
        <f t="shared" si="4"/>
        <v>0</v>
      </c>
      <c r="G15" s="43">
        <f t="shared" si="5"/>
        <v>0</v>
      </c>
      <c r="H15" s="43">
        <f t="shared" si="6"/>
        <v>0</v>
      </c>
      <c r="I15" s="51">
        <f t="shared" si="7"/>
        <v>0</v>
      </c>
      <c r="J15" s="46">
        <f t="shared" si="0"/>
        <v>106008</v>
      </c>
      <c r="K15" s="52">
        <f t="shared" si="8"/>
        <v>7000</v>
      </c>
      <c r="L15" s="43">
        <f t="shared" si="8"/>
        <v>0</v>
      </c>
      <c r="M15" s="43">
        <f t="shared" si="9"/>
        <v>0</v>
      </c>
      <c r="N15" s="43">
        <f>IF(Master!$E$14&gt;0,Master!$E$14,IF(B15&lt;23101,1450,IF(B15&lt;28501,1625,IF(B15&lt;38501,2100,IF(B15&lt;51501,2850,IF(B15&lt;62001,3575,IF(B15&lt;72001,4200,IF(B15&lt;80001,4800,IF(B15&lt;116001,6150,IF(B15&lt;167001,8900,10500))))))))))</f>
        <v>4200</v>
      </c>
      <c r="O15" s="43">
        <f t="shared" si="10"/>
        <v>0</v>
      </c>
      <c r="P15" s="43">
        <f t="shared" si="11"/>
        <v>875</v>
      </c>
      <c r="Q15" s="44"/>
      <c r="R15" s="43">
        <f t="shared" si="12"/>
        <v>0</v>
      </c>
      <c r="S15" s="44"/>
      <c r="T15" s="43">
        <f t="shared" si="13"/>
        <v>0</v>
      </c>
      <c r="U15" s="43"/>
      <c r="V15" s="43">
        <f t="shared" si="14"/>
        <v>1000</v>
      </c>
      <c r="W15" s="48">
        <f t="shared" si="1"/>
        <v>13075</v>
      </c>
      <c r="X15" s="46">
        <f t="shared" si="2"/>
        <v>92933</v>
      </c>
      <c r="Y15" s="49"/>
      <c r="AF15" s="89">
        <v>45931</v>
      </c>
      <c r="AG15" s="90">
        <f t="shared" si="15"/>
        <v>63100</v>
      </c>
      <c r="AH15" s="91">
        <v>0.57999999999999996</v>
      </c>
      <c r="AI15" s="92">
        <f t="shared" si="3"/>
        <v>36598</v>
      </c>
      <c r="AJ15" s="90">
        <f t="shared" si="17"/>
        <v>947</v>
      </c>
    </row>
    <row r="16" spans="1:36" ht="20.100000000000001" customHeight="1" x14ac:dyDescent="0.2">
      <c r="A16" s="42">
        <v>45962</v>
      </c>
      <c r="B16" s="43">
        <f t="shared" si="16"/>
        <v>63100</v>
      </c>
      <c r="C16" s="43">
        <f>IF(Master!C24="YES",0,ROUND(IF(B16="",0,B16*58%),0))</f>
        <v>36598</v>
      </c>
      <c r="D16" s="43">
        <f>IF(Master!$C$16="yes",0,ROUND(IF(B16="",0,B16*Master!$C$11),0))</f>
        <v>6310</v>
      </c>
      <c r="E16" s="43"/>
      <c r="F16" s="43">
        <f t="shared" si="4"/>
        <v>0</v>
      </c>
      <c r="G16" s="43">
        <f t="shared" si="5"/>
        <v>0</v>
      </c>
      <c r="H16" s="43">
        <f t="shared" si="6"/>
        <v>0</v>
      </c>
      <c r="I16" s="51">
        <f t="shared" si="7"/>
        <v>0</v>
      </c>
      <c r="J16" s="46">
        <f t="shared" si="0"/>
        <v>106008</v>
      </c>
      <c r="K16" s="52">
        <f t="shared" si="8"/>
        <v>7000</v>
      </c>
      <c r="L16" s="43">
        <f t="shared" si="8"/>
        <v>0</v>
      </c>
      <c r="M16" s="43">
        <f t="shared" si="9"/>
        <v>0</v>
      </c>
      <c r="N16" s="43">
        <f>IF(Master!$E$14&gt;0,Master!$E$14,IF(B16&lt;23101,1450,IF(B16&lt;28501,1625,IF(B16&lt;38501,2100,IF(B16&lt;51501,2850,IF(B16&lt;62001,3575,IF(B16&lt;72001,4200,IF(B16&lt;80001,4800,IF(B16&lt;116001,6150,IF(B16&lt;167001,8900,10500))))))))))</f>
        <v>4200</v>
      </c>
      <c r="O16" s="43">
        <f t="shared" si="10"/>
        <v>0</v>
      </c>
      <c r="P16" s="43">
        <f t="shared" si="11"/>
        <v>875</v>
      </c>
      <c r="Q16" s="44"/>
      <c r="R16" s="43">
        <f t="shared" si="12"/>
        <v>0</v>
      </c>
      <c r="S16" s="44"/>
      <c r="T16" s="43">
        <f t="shared" si="13"/>
        <v>0</v>
      </c>
      <c r="U16" s="43"/>
      <c r="V16" s="43">
        <f t="shared" si="14"/>
        <v>1000</v>
      </c>
      <c r="W16" s="48">
        <f t="shared" si="1"/>
        <v>13075</v>
      </c>
      <c r="X16" s="46">
        <f t="shared" si="2"/>
        <v>92933</v>
      </c>
      <c r="Y16" s="49"/>
      <c r="AF16" s="89">
        <v>45962</v>
      </c>
      <c r="AG16" s="90">
        <f t="shared" si="15"/>
        <v>63100</v>
      </c>
      <c r="AH16" s="91">
        <v>0.57999999999999996</v>
      </c>
      <c r="AI16" s="92">
        <f t="shared" si="3"/>
        <v>36598</v>
      </c>
      <c r="AJ16" s="93"/>
    </row>
    <row r="17" spans="1:36" ht="20.100000000000001" customHeight="1" x14ac:dyDescent="0.2">
      <c r="A17" s="42">
        <v>45992</v>
      </c>
      <c r="B17" s="43">
        <f t="shared" si="16"/>
        <v>63100</v>
      </c>
      <c r="C17" s="43">
        <f>IF(Master!C25="YES",0,ROUND(IF(B17="",0,B17*58%),0))</f>
        <v>36598</v>
      </c>
      <c r="D17" s="43">
        <f>IF(Master!$C$16="yes",0,ROUND(IF(B17="",0,B17*Master!$C$11),0))</f>
        <v>6310</v>
      </c>
      <c r="E17" s="43"/>
      <c r="F17" s="43">
        <f t="shared" si="4"/>
        <v>0</v>
      </c>
      <c r="G17" s="43">
        <f t="shared" si="5"/>
        <v>0</v>
      </c>
      <c r="H17" s="43">
        <f t="shared" si="6"/>
        <v>0</v>
      </c>
      <c r="I17" s="51">
        <f t="shared" si="7"/>
        <v>0</v>
      </c>
      <c r="J17" s="46">
        <f t="shared" si="0"/>
        <v>106008</v>
      </c>
      <c r="K17" s="52">
        <f t="shared" si="8"/>
        <v>7000</v>
      </c>
      <c r="L17" s="43">
        <f t="shared" si="8"/>
        <v>0</v>
      </c>
      <c r="M17" s="43">
        <f t="shared" si="9"/>
        <v>0</v>
      </c>
      <c r="N17" s="43">
        <f>IF(Master!$E$14&gt;0,Master!$E$14,IF(B17&lt;23101,1450,IF(B17&lt;28501,1625,IF(B17&lt;38501,2100,IF(B17&lt;51501,2850,IF(B17&lt;62001,3575,IF(B17&lt;72001,4200,IF(B17&lt;80001,4800,IF(B17&lt;116001,6150,IF(B17&lt;167001,8900,10500))))))))))</f>
        <v>4200</v>
      </c>
      <c r="O17" s="43">
        <f t="shared" si="10"/>
        <v>0</v>
      </c>
      <c r="P17" s="43">
        <f t="shared" si="11"/>
        <v>875</v>
      </c>
      <c r="Q17" s="44"/>
      <c r="R17" s="43">
        <f t="shared" si="12"/>
        <v>0</v>
      </c>
      <c r="S17" s="44">
        <f>Master!E17</f>
        <v>500</v>
      </c>
      <c r="T17" s="43">
        <f t="shared" si="13"/>
        <v>0</v>
      </c>
      <c r="U17" s="43"/>
      <c r="V17" s="43">
        <f t="shared" si="14"/>
        <v>1000</v>
      </c>
      <c r="W17" s="48">
        <f>SUM(K17:V17)</f>
        <v>13575</v>
      </c>
      <c r="X17" s="46">
        <f t="shared" si="2"/>
        <v>92433</v>
      </c>
      <c r="Y17" s="49"/>
      <c r="AF17" s="89">
        <v>45992</v>
      </c>
      <c r="AG17" s="90">
        <f t="shared" si="15"/>
        <v>63100</v>
      </c>
      <c r="AH17" s="91">
        <v>0.57999999999999996</v>
      </c>
      <c r="AI17" s="92">
        <f t="shared" si="3"/>
        <v>36598</v>
      </c>
      <c r="AJ17" s="93"/>
    </row>
    <row r="18" spans="1:36" ht="20.100000000000001" customHeight="1" x14ac:dyDescent="0.2">
      <c r="A18" s="42">
        <v>46023</v>
      </c>
      <c r="B18" s="43">
        <f t="shared" si="16"/>
        <v>63100</v>
      </c>
      <c r="C18" s="43">
        <f>IF(Master!C26="YES",0,ROUND(IF(B18="",0,B18*58%),0))</f>
        <v>36598</v>
      </c>
      <c r="D18" s="43">
        <f>IF(Master!$C$16="yes",0,ROUND(IF(B18="",0,B18*Master!$C$11),0))</f>
        <v>6310</v>
      </c>
      <c r="E18" s="43"/>
      <c r="F18" s="43">
        <f t="shared" si="4"/>
        <v>0</v>
      </c>
      <c r="G18" s="43">
        <f t="shared" si="5"/>
        <v>0</v>
      </c>
      <c r="H18" s="43">
        <f t="shared" si="6"/>
        <v>0</v>
      </c>
      <c r="I18" s="51">
        <f t="shared" si="7"/>
        <v>0</v>
      </c>
      <c r="J18" s="46">
        <f t="shared" si="0"/>
        <v>106008</v>
      </c>
      <c r="K18" s="52">
        <f t="shared" si="8"/>
        <v>7000</v>
      </c>
      <c r="L18" s="43">
        <f t="shared" si="8"/>
        <v>0</v>
      </c>
      <c r="M18" s="43">
        <f t="shared" si="9"/>
        <v>0</v>
      </c>
      <c r="N18" s="43">
        <f>IF(Master!$E$14&gt;0,Master!$E$14,IF(B18&lt;23101,1450,IF(B18&lt;28501,1625,IF(B18&lt;38501,2100,IF(B18&lt;51501,2850,IF(B18&lt;62001,3575,IF(B18&lt;72001,4200,IF(B18&lt;80001,4800,IF(B18&lt;116001,6150,IF(B18&lt;167001,8900,10500))))))))))</f>
        <v>4200</v>
      </c>
      <c r="O18" s="43">
        <f t="shared" si="10"/>
        <v>0</v>
      </c>
      <c r="P18" s="43">
        <f t="shared" si="11"/>
        <v>875</v>
      </c>
      <c r="Q18" s="44"/>
      <c r="R18" s="43">
        <f t="shared" si="12"/>
        <v>0</v>
      </c>
      <c r="S18" s="44"/>
      <c r="T18" s="43">
        <f t="shared" si="13"/>
        <v>0</v>
      </c>
      <c r="U18" s="43"/>
      <c r="V18" s="43">
        <f t="shared" si="14"/>
        <v>1000</v>
      </c>
      <c r="W18" s="48">
        <f t="shared" ref="W18:W27" si="18">SUM(K18:V18)</f>
        <v>13075</v>
      </c>
      <c r="X18" s="46">
        <f t="shared" si="2"/>
        <v>92933</v>
      </c>
      <c r="Y18" s="49"/>
      <c r="AF18" s="89">
        <v>46023</v>
      </c>
      <c r="AG18" s="90">
        <f t="shared" si="15"/>
        <v>63100</v>
      </c>
      <c r="AH18" s="91">
        <v>0.57999999999999996</v>
      </c>
      <c r="AI18" s="92">
        <f t="shared" si="3"/>
        <v>36598</v>
      </c>
      <c r="AJ18" s="93"/>
    </row>
    <row r="19" spans="1:36" ht="20.100000000000001" customHeight="1" x14ac:dyDescent="0.2">
      <c r="A19" s="42">
        <v>46054</v>
      </c>
      <c r="B19" s="43">
        <f t="shared" si="16"/>
        <v>63100</v>
      </c>
      <c r="C19" s="43">
        <f>IF(Master!C27="YES",0,ROUND(IF(B19="",0,B19*58%),0))</f>
        <v>36598</v>
      </c>
      <c r="D19" s="43">
        <f>IF(Master!$C$16="yes",0,ROUND(IF(B19="",0,B19*Master!$C$11),0))</f>
        <v>6310</v>
      </c>
      <c r="E19" s="43"/>
      <c r="F19" s="43">
        <f t="shared" si="4"/>
        <v>0</v>
      </c>
      <c r="G19" s="43">
        <f t="shared" si="5"/>
        <v>0</v>
      </c>
      <c r="H19" s="43">
        <f t="shared" si="6"/>
        <v>0</v>
      </c>
      <c r="I19" s="51">
        <f t="shared" si="7"/>
        <v>0</v>
      </c>
      <c r="J19" s="46">
        <f t="shared" si="0"/>
        <v>106008</v>
      </c>
      <c r="K19" s="52">
        <f t="shared" si="8"/>
        <v>7000</v>
      </c>
      <c r="L19" s="43">
        <f t="shared" si="8"/>
        <v>0</v>
      </c>
      <c r="M19" s="43">
        <f t="shared" si="9"/>
        <v>0</v>
      </c>
      <c r="N19" s="43">
        <f>IF(Master!$E$14&gt;0,Master!$E$14,IF(B19&lt;23101,1450,IF(B19&lt;28501,1625,IF(B19&lt;38501,2100,IF(B19&lt;51501,2850,IF(B19&lt;62001,3575,IF(B19&lt;72001,4200,IF(B19&lt;80001,4800,IF(B19&lt;116001,6150,IF(B19&lt;167001,8900,10500))))))))))</f>
        <v>4200</v>
      </c>
      <c r="O19" s="43">
        <f t="shared" si="10"/>
        <v>0</v>
      </c>
      <c r="P19" s="43">
        <f t="shared" si="11"/>
        <v>875</v>
      </c>
      <c r="Q19" s="44"/>
      <c r="R19" s="43">
        <f t="shared" si="12"/>
        <v>0</v>
      </c>
      <c r="S19" s="44"/>
      <c r="T19" s="43">
        <f t="shared" si="13"/>
        <v>0</v>
      </c>
      <c r="U19" s="43"/>
      <c r="V19" s="43">
        <f t="shared" si="14"/>
        <v>1000</v>
      </c>
      <c r="W19" s="48">
        <f t="shared" si="18"/>
        <v>13075</v>
      </c>
      <c r="X19" s="46">
        <f t="shared" si="2"/>
        <v>92933</v>
      </c>
      <c r="Y19" s="49"/>
      <c r="AF19" s="89">
        <v>46054</v>
      </c>
      <c r="AG19" s="90">
        <f t="shared" si="15"/>
        <v>63100</v>
      </c>
      <c r="AH19" s="91">
        <v>0.57999999999999996</v>
      </c>
      <c r="AI19" s="92">
        <f t="shared" si="3"/>
        <v>36598</v>
      </c>
      <c r="AJ19" s="93"/>
    </row>
    <row r="20" spans="1:36" ht="27.95" customHeight="1" x14ac:dyDescent="0.2">
      <c r="A20" s="53" t="s">
        <v>224</v>
      </c>
      <c r="B20" s="44"/>
      <c r="C20" s="44">
        <f>IF(Master!E11="Yes",IF(Master!C16="YES",0,ROUND($B$8*2%,0)+ROUND($B$9*2%,0)+ROUND($B$10*2%,0)))</f>
        <v>3678</v>
      </c>
      <c r="D20" s="43"/>
      <c r="E20" s="43"/>
      <c r="F20" s="44"/>
      <c r="G20" s="44"/>
      <c r="H20" s="44"/>
      <c r="I20" s="45"/>
      <c r="J20" s="46">
        <f t="shared" si="0"/>
        <v>3678</v>
      </c>
      <c r="K20" s="54"/>
      <c r="L20" s="44">
        <v>0</v>
      </c>
      <c r="M20" s="44"/>
      <c r="N20" s="44">
        <f>IF(C20="","",C20)</f>
        <v>3678</v>
      </c>
      <c r="O20" s="44"/>
      <c r="P20" s="44"/>
      <c r="Q20" s="44"/>
      <c r="R20" s="44"/>
      <c r="S20" s="44"/>
      <c r="T20" s="44"/>
      <c r="U20" s="44"/>
      <c r="V20" s="44"/>
      <c r="W20" s="48">
        <f t="shared" si="18"/>
        <v>3678</v>
      </c>
      <c r="X20" s="46">
        <f t="shared" si="2"/>
        <v>0</v>
      </c>
      <c r="Y20" s="49"/>
    </row>
    <row r="21" spans="1:36" s="57" customFormat="1" ht="20.100000000000001" customHeight="1" x14ac:dyDescent="0.25">
      <c r="A21" s="55" t="s">
        <v>23</v>
      </c>
      <c r="B21" s="44"/>
      <c r="C21" s="44"/>
      <c r="D21" s="44"/>
      <c r="E21" s="44">
        <f>IF(Master!C12="Yes",ROUND(6774/12*Master!E12,0),0)</f>
        <v>6774</v>
      </c>
      <c r="F21" s="44"/>
      <c r="G21" s="44"/>
      <c r="H21" s="44"/>
      <c r="I21" s="45"/>
      <c r="J21" s="46">
        <f t="shared" si="0"/>
        <v>6774</v>
      </c>
      <c r="K21" s="54"/>
      <c r="L21" s="43"/>
      <c r="M21" s="44"/>
      <c r="N21" s="44">
        <f>ROUND(E21*25%,0)</f>
        <v>1694</v>
      </c>
      <c r="O21" s="44"/>
      <c r="P21" s="44"/>
      <c r="Q21" s="44"/>
      <c r="R21" s="44"/>
      <c r="S21" s="44"/>
      <c r="T21" s="44"/>
      <c r="U21" s="44"/>
      <c r="V21" s="44"/>
      <c r="W21" s="48">
        <f t="shared" si="18"/>
        <v>1694</v>
      </c>
      <c r="X21" s="46">
        <f t="shared" si="2"/>
        <v>5080</v>
      </c>
      <c r="Y21" s="56"/>
    </row>
    <row r="22" spans="1:36" s="57" customFormat="1" ht="20.100000000000001" customHeight="1" x14ac:dyDescent="0.25">
      <c r="A22" s="55" t="s">
        <v>24</v>
      </c>
      <c r="B22" s="44" t="str">
        <f>IF(Master!C13="Yes",IF(Master!E13="","",VLOOKUP(Master!E13,$AF$8:$AH$19,2,0)/2),0)</f>
        <v/>
      </c>
      <c r="C22" s="44" t="str">
        <f>IF(Master!E13="","",B22*VLOOKUP(Master!E13,$AF$8:$AH$19,3,0))</f>
        <v/>
      </c>
      <c r="D22" s="44"/>
      <c r="E22" s="44"/>
      <c r="F22" s="44"/>
      <c r="G22" s="44"/>
      <c r="H22" s="44"/>
      <c r="I22" s="45"/>
      <c r="J22" s="46">
        <f t="shared" si="0"/>
        <v>0</v>
      </c>
      <c r="K22" s="5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8">
        <f t="shared" si="18"/>
        <v>0</v>
      </c>
      <c r="X22" s="46">
        <f t="shared" si="2"/>
        <v>0</v>
      </c>
      <c r="Y22" s="56"/>
    </row>
    <row r="23" spans="1:36" s="57" customFormat="1" ht="27.95" customHeight="1" x14ac:dyDescent="0.2">
      <c r="A23" s="53" t="s">
        <v>225</v>
      </c>
      <c r="B23" s="44"/>
      <c r="C23" s="43">
        <f>IF(Master!E11="Yes",IF(Master!C16="YES",0,ROUND($B$12*3%,0)+ROUND($B$13*3%,0)+ROUND($B$14*3%,0)))</f>
        <v>5679</v>
      </c>
      <c r="D23" s="44"/>
      <c r="E23" s="44"/>
      <c r="F23" s="44"/>
      <c r="G23" s="44"/>
      <c r="H23" s="44"/>
      <c r="I23" s="45"/>
      <c r="J23" s="46">
        <f t="shared" si="0"/>
        <v>5679</v>
      </c>
      <c r="K23" s="54"/>
      <c r="L23" s="43"/>
      <c r="M23" s="44"/>
      <c r="N23" s="44">
        <f>IF(C23="","",C23)</f>
        <v>5679</v>
      </c>
      <c r="O23" s="44"/>
      <c r="P23" s="44"/>
      <c r="Q23" s="44"/>
      <c r="R23" s="44"/>
      <c r="S23" s="44"/>
      <c r="T23" s="44"/>
      <c r="U23" s="44"/>
      <c r="V23" s="44"/>
      <c r="W23" s="48">
        <f t="shared" si="18"/>
        <v>5679</v>
      </c>
      <c r="X23" s="46">
        <f t="shared" si="2"/>
        <v>0</v>
      </c>
      <c r="Y23" s="56"/>
    </row>
    <row r="24" spans="1:36" ht="20.100000000000001" customHeight="1" x14ac:dyDescent="0.2">
      <c r="A24" s="58" t="s">
        <v>25</v>
      </c>
      <c r="B24" s="44"/>
      <c r="C24" s="44"/>
      <c r="D24" s="44"/>
      <c r="E24" s="44"/>
      <c r="F24" s="44"/>
      <c r="G24" s="44"/>
      <c r="H24" s="44"/>
      <c r="I24" s="45"/>
      <c r="J24" s="46">
        <f t="shared" si="0"/>
        <v>0</v>
      </c>
      <c r="K24" s="54"/>
      <c r="L24" s="44"/>
      <c r="M24" s="44"/>
      <c r="N24" s="43"/>
      <c r="O24" s="44"/>
      <c r="P24" s="44"/>
      <c r="Q24" s="44"/>
      <c r="R24" s="44"/>
      <c r="S24" s="44"/>
      <c r="T24" s="44"/>
      <c r="U24" s="44"/>
      <c r="V24" s="44"/>
      <c r="W24" s="48">
        <f t="shared" si="18"/>
        <v>0</v>
      </c>
      <c r="X24" s="46">
        <f t="shared" si="2"/>
        <v>0</v>
      </c>
      <c r="Y24" s="49"/>
    </row>
    <row r="25" spans="1:36" ht="20.100000000000001" customHeight="1" x14ac:dyDescent="0.2">
      <c r="A25" s="88" t="s">
        <v>33</v>
      </c>
      <c r="B25" s="44"/>
      <c r="C25" s="44"/>
      <c r="D25" s="44"/>
      <c r="E25" s="44"/>
      <c r="F25" s="44"/>
      <c r="G25" s="44"/>
      <c r="H25" s="44"/>
      <c r="I25" s="45"/>
      <c r="J25" s="46">
        <f t="shared" si="0"/>
        <v>0</v>
      </c>
      <c r="K25" s="54"/>
      <c r="L25" s="44"/>
      <c r="M25" s="44"/>
      <c r="N25" s="43"/>
      <c r="O25" s="44"/>
      <c r="P25" s="44"/>
      <c r="Q25" s="44"/>
      <c r="R25" s="44"/>
      <c r="S25" s="44"/>
      <c r="T25" s="44"/>
      <c r="U25" s="44"/>
      <c r="V25" s="44"/>
      <c r="W25" s="48">
        <f t="shared" si="18"/>
        <v>0</v>
      </c>
      <c r="X25" s="46">
        <f t="shared" si="2"/>
        <v>0</v>
      </c>
      <c r="Y25" s="49"/>
    </row>
    <row r="26" spans="1:36" ht="20.100000000000001" customHeight="1" x14ac:dyDescent="0.2">
      <c r="A26" s="88" t="s">
        <v>34</v>
      </c>
      <c r="B26" s="44"/>
      <c r="C26" s="44"/>
      <c r="D26" s="44"/>
      <c r="E26" s="44"/>
      <c r="F26" s="44"/>
      <c r="G26" s="44"/>
      <c r="H26" s="44"/>
      <c r="I26" s="45"/>
      <c r="J26" s="46">
        <f t="shared" si="0"/>
        <v>0</v>
      </c>
      <c r="K26" s="54"/>
      <c r="L26" s="44"/>
      <c r="M26" s="44"/>
      <c r="N26" s="43"/>
      <c r="O26" s="44"/>
      <c r="P26" s="44"/>
      <c r="Q26" s="44"/>
      <c r="R26" s="44"/>
      <c r="S26" s="44"/>
      <c r="T26" s="44"/>
      <c r="U26" s="44"/>
      <c r="V26" s="44"/>
      <c r="W26" s="48">
        <f t="shared" si="18"/>
        <v>0</v>
      </c>
      <c r="X26" s="46">
        <f t="shared" si="2"/>
        <v>0</v>
      </c>
      <c r="Y26" s="49"/>
    </row>
    <row r="27" spans="1:36" s="57" customFormat="1" ht="21.95" customHeight="1" x14ac:dyDescent="0.25">
      <c r="A27" s="58" t="s">
        <v>123</v>
      </c>
      <c r="B27" s="44"/>
      <c r="C27" s="44" t="str">
        <f>IF(Master!C13="no",0,IF(Master!E13=$AF$8,$AJ$8,IF(Master!E13=AF9,AJ9,IF(Master!E13=$AF$12,$AJ$12,IF(Master!E13=$AF$13,$AJ$13,IF(Master!E13=$AF$14,$AJ$14,IF(Master!E13=$AF$15,AJ$15,"")))))))</f>
        <v/>
      </c>
      <c r="D27" s="44"/>
      <c r="E27" s="44"/>
      <c r="F27" s="44"/>
      <c r="G27" s="44"/>
      <c r="H27" s="44"/>
      <c r="I27" s="45"/>
      <c r="J27" s="46">
        <f t="shared" si="0"/>
        <v>0</v>
      </c>
      <c r="K27" s="54"/>
      <c r="L27" s="44"/>
      <c r="M27" s="44"/>
      <c r="N27" s="43"/>
      <c r="O27" s="44"/>
      <c r="P27" s="44"/>
      <c r="Q27" s="44"/>
      <c r="R27" s="44"/>
      <c r="S27" s="44"/>
      <c r="T27" s="44"/>
      <c r="U27" s="44"/>
      <c r="V27" s="44"/>
      <c r="W27" s="48">
        <f t="shared" si="18"/>
        <v>0</v>
      </c>
      <c r="X27" s="46">
        <f t="shared" si="2"/>
        <v>0</v>
      </c>
      <c r="Y27" s="56"/>
    </row>
    <row r="28" spans="1:36" ht="69" customHeight="1" thickBot="1" x14ac:dyDescent="0.25">
      <c r="A28" s="59" t="s">
        <v>26</v>
      </c>
      <c r="B28" s="60">
        <f t="shared" ref="B28:X28" si="19">SUM(B8:B27)</f>
        <v>750000</v>
      </c>
      <c r="C28" s="60">
        <f t="shared" si="19"/>
        <v>430096</v>
      </c>
      <c r="D28" s="60">
        <f t="shared" si="19"/>
        <v>75000</v>
      </c>
      <c r="E28" s="60">
        <f t="shared" si="19"/>
        <v>6774</v>
      </c>
      <c r="F28" s="60">
        <f t="shared" si="19"/>
        <v>0</v>
      </c>
      <c r="G28" s="60">
        <f t="shared" si="19"/>
        <v>0</v>
      </c>
      <c r="H28" s="60">
        <f t="shared" si="19"/>
        <v>0</v>
      </c>
      <c r="I28" s="60">
        <f t="shared" si="19"/>
        <v>0</v>
      </c>
      <c r="J28" s="61">
        <f t="shared" si="19"/>
        <v>1261870</v>
      </c>
      <c r="K28" s="62">
        <f t="shared" si="19"/>
        <v>84000</v>
      </c>
      <c r="L28" s="62">
        <f t="shared" si="19"/>
        <v>0</v>
      </c>
      <c r="M28" s="62">
        <f t="shared" si="19"/>
        <v>0</v>
      </c>
      <c r="N28" s="62">
        <f t="shared" si="19"/>
        <v>58951</v>
      </c>
      <c r="O28" s="62">
        <f t="shared" si="19"/>
        <v>0</v>
      </c>
      <c r="P28" s="62">
        <f t="shared" si="19"/>
        <v>10500</v>
      </c>
      <c r="Q28" s="62">
        <f t="shared" si="19"/>
        <v>700</v>
      </c>
      <c r="R28" s="62">
        <f t="shared" si="19"/>
        <v>0</v>
      </c>
      <c r="S28" s="62">
        <f t="shared" si="19"/>
        <v>500</v>
      </c>
      <c r="T28" s="62">
        <f t="shared" si="19"/>
        <v>0</v>
      </c>
      <c r="U28" s="62">
        <f t="shared" si="19"/>
        <v>0</v>
      </c>
      <c r="V28" s="62">
        <f t="shared" si="19"/>
        <v>12000</v>
      </c>
      <c r="W28" s="62">
        <f t="shared" si="19"/>
        <v>166651</v>
      </c>
      <c r="X28" s="62">
        <f t="shared" si="19"/>
        <v>1095219</v>
      </c>
      <c r="Y28" s="63"/>
    </row>
    <row r="29" spans="1:36" ht="11.25" customHeight="1" x14ac:dyDescent="0.2"/>
    <row r="30" spans="1:36" ht="15" customHeight="1" x14ac:dyDescent="0.2">
      <c r="A30" s="125" t="s">
        <v>27</v>
      </c>
      <c r="B30" s="125"/>
      <c r="C30" s="125"/>
      <c r="D30" s="93"/>
      <c r="E30" s="93"/>
      <c r="F30" s="93"/>
      <c r="G30" s="93"/>
      <c r="H30" s="93"/>
      <c r="I30" s="93"/>
      <c r="J30" s="93"/>
      <c r="K30" s="93"/>
      <c r="L30" s="94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125" t="s">
        <v>28</v>
      </c>
      <c r="X30" s="125"/>
      <c r="Y30" s="125"/>
    </row>
    <row r="31" spans="1:36" ht="15" customHeight="1" x14ac:dyDescent="0.2">
      <c r="A31" s="64"/>
      <c r="B31" s="64"/>
      <c r="C31" s="64"/>
      <c r="D31" s="64"/>
      <c r="E31" s="64"/>
      <c r="F31" s="64"/>
      <c r="G31" s="126" t="s">
        <v>214</v>
      </c>
      <c r="H31" s="126"/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66"/>
      <c r="T31" s="64"/>
      <c r="U31" s="64"/>
      <c r="V31" s="64"/>
      <c r="W31" s="64"/>
      <c r="X31" s="64"/>
      <c r="Y31" s="64"/>
    </row>
  </sheetData>
  <sheetProtection algorithmName="SHA-512" hashValue="6/d72/+5tVjQ6xeLk29VLUKp2KhfXZbLsCCoaUecSRnVIcroLeSnJNsZk6ZluB3CfHLul/KKLCBk1X/+mcVXXg==" saltValue="mM0sTw5MRHBPG1yEGNW0hg==" spinCount="100000" sheet="1" formatCells="0" formatColumns="0" formatRows="0" selectLockedCells="1"/>
  <mergeCells count="25">
    <mergeCell ref="M5:O5"/>
    <mergeCell ref="A1:Y1"/>
    <mergeCell ref="A2:Y2"/>
    <mergeCell ref="G5:H5"/>
    <mergeCell ref="K4:L4"/>
    <mergeCell ref="I5:J5"/>
    <mergeCell ref="G4:H4"/>
    <mergeCell ref="M4:O4"/>
    <mergeCell ref="P4:Q4"/>
    <mergeCell ref="A30:C30"/>
    <mergeCell ref="W30:Y30"/>
    <mergeCell ref="G31:R31"/>
    <mergeCell ref="R4:U4"/>
    <mergeCell ref="P5:Q5"/>
    <mergeCell ref="R5:U5"/>
    <mergeCell ref="V5:W5"/>
    <mergeCell ref="X5:Y5"/>
    <mergeCell ref="A4:B4"/>
    <mergeCell ref="A5:B5"/>
    <mergeCell ref="C4:F4"/>
    <mergeCell ref="C5:F5"/>
    <mergeCell ref="X4:Y4"/>
    <mergeCell ref="V4:W4"/>
    <mergeCell ref="I4:J4"/>
    <mergeCell ref="K5:L5"/>
  </mergeCells>
  <phoneticPr fontId="27" type="noConversion"/>
  <conditionalFormatting sqref="B8:P19 M8:M27 Q8:X27 B20:L27 N20:P27 B28:X28">
    <cfRule type="cellIs" dxfId="1" priority="4" stopIfTrue="1" operator="equal">
      <formula>0</formula>
    </cfRule>
  </conditionalFormatting>
  <conditionalFormatting sqref="G8 I8 K8:M8 O8 R8 V8">
    <cfRule type="cellIs" dxfId="0" priority="1" operator="greaterThan">
      <formula>0</formula>
    </cfRule>
  </conditionalFormatting>
  <printOptions horizontalCentered="1"/>
  <pageMargins left="0.5" right="0.5" top="0.5" bottom="0.5" header="0" footer="0"/>
  <pageSetup paperSize="9" scale="74" orientation="landscape" r:id="rId1"/>
  <headerFooter>
    <oddFooter>&amp;Cwww.ashwinisharma.com</oddFooter>
  </headerFooter>
  <colBreaks count="1" manualBreakCount="1">
    <brk id="2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459D9-8E31-40FC-A972-4D5A9F8B701A}">
  <sheetPr>
    <tabColor rgb="FF92D050"/>
  </sheetPr>
  <dimension ref="A1:F21"/>
  <sheetViews>
    <sheetView zoomScaleNormal="100" workbookViewId="0">
      <selection activeCell="C5" sqref="C5"/>
    </sheetView>
  </sheetViews>
  <sheetFormatPr defaultColWidth="0" defaultRowHeight="15" zeroHeight="1" x14ac:dyDescent="0.25"/>
  <cols>
    <col min="1" max="1" width="5.5703125" style="29" bestFit="1" customWidth="1"/>
    <col min="2" max="2" width="40.7109375" style="96" customWidth="1"/>
    <col min="3" max="3" width="12.7109375" style="29" customWidth="1"/>
    <col min="4" max="4" width="5.5703125" style="29" bestFit="1" customWidth="1"/>
    <col min="5" max="5" width="40.7109375" style="96" customWidth="1"/>
    <col min="6" max="6" width="12.7109375" style="29" customWidth="1"/>
    <col min="7" max="16384" width="9.140625" style="29" hidden="1"/>
  </cols>
  <sheetData>
    <row r="1" spans="1:6" ht="21.75" customHeight="1" x14ac:dyDescent="0.25">
      <c r="A1" s="136" t="s">
        <v>163</v>
      </c>
      <c r="B1" s="136"/>
      <c r="C1" s="136"/>
      <c r="D1" s="136"/>
      <c r="E1" s="136"/>
      <c r="F1" s="136"/>
    </row>
    <row r="2" spans="1:6" x14ac:dyDescent="0.25">
      <c r="A2" s="97"/>
      <c r="B2" s="98"/>
      <c r="C2" s="97"/>
      <c r="D2" s="97"/>
      <c r="E2" s="98"/>
      <c r="F2" s="97"/>
    </row>
    <row r="3" spans="1:6" ht="21" customHeight="1" x14ac:dyDescent="0.25">
      <c r="A3" s="99" t="s">
        <v>164</v>
      </c>
      <c r="B3" s="100" t="s">
        <v>165</v>
      </c>
      <c r="C3" s="99" t="s">
        <v>166</v>
      </c>
      <c r="D3" s="99" t="s">
        <v>164</v>
      </c>
      <c r="E3" s="100" t="s">
        <v>165</v>
      </c>
      <c r="F3" s="99" t="s">
        <v>166</v>
      </c>
    </row>
    <row r="4" spans="1:6" ht="30" customHeight="1" x14ac:dyDescent="0.25">
      <c r="A4" s="101">
        <v>1</v>
      </c>
      <c r="B4" s="27" t="s">
        <v>167</v>
      </c>
      <c r="C4" s="95">
        <v>0</v>
      </c>
      <c r="D4" s="101">
        <v>19</v>
      </c>
      <c r="E4" s="27" t="s">
        <v>184</v>
      </c>
      <c r="F4" s="95">
        <v>0</v>
      </c>
    </row>
    <row r="5" spans="1:6" ht="30" customHeight="1" x14ac:dyDescent="0.25">
      <c r="A5" s="101">
        <v>2</v>
      </c>
      <c r="B5" s="27" t="s">
        <v>168</v>
      </c>
      <c r="C5" s="95">
        <v>0</v>
      </c>
      <c r="D5" s="101">
        <v>20</v>
      </c>
      <c r="E5" s="27" t="s">
        <v>185</v>
      </c>
      <c r="F5" s="95">
        <v>0</v>
      </c>
    </row>
    <row r="6" spans="1:6" ht="30" customHeight="1" x14ac:dyDescent="0.25">
      <c r="A6" s="101">
        <v>3</v>
      </c>
      <c r="B6" s="27" t="s">
        <v>169</v>
      </c>
      <c r="C6" s="95">
        <v>0</v>
      </c>
      <c r="D6" s="101">
        <v>21</v>
      </c>
      <c r="E6" s="27" t="s">
        <v>186</v>
      </c>
      <c r="F6" s="95">
        <v>0</v>
      </c>
    </row>
    <row r="7" spans="1:6" ht="30" customHeight="1" x14ac:dyDescent="0.25">
      <c r="A7" s="101">
        <v>4</v>
      </c>
      <c r="B7" s="27" t="s">
        <v>170</v>
      </c>
      <c r="C7" s="95">
        <v>0</v>
      </c>
      <c r="D7" s="101">
        <v>22</v>
      </c>
      <c r="E7" s="27" t="s">
        <v>187</v>
      </c>
      <c r="F7" s="95">
        <v>0</v>
      </c>
    </row>
    <row r="8" spans="1:6" ht="30" customHeight="1" x14ac:dyDescent="0.25">
      <c r="A8" s="101">
        <v>5</v>
      </c>
      <c r="B8" s="27" t="s">
        <v>171</v>
      </c>
      <c r="C8" s="95">
        <v>0</v>
      </c>
      <c r="D8" s="101">
        <v>23</v>
      </c>
      <c r="E8" s="27" t="s">
        <v>188</v>
      </c>
      <c r="F8" s="95">
        <v>0</v>
      </c>
    </row>
    <row r="9" spans="1:6" ht="30" customHeight="1" x14ac:dyDescent="0.25">
      <c r="A9" s="101">
        <v>6</v>
      </c>
      <c r="B9" s="27" t="s">
        <v>172</v>
      </c>
      <c r="C9" s="95">
        <v>0</v>
      </c>
      <c r="D9" s="101">
        <v>24</v>
      </c>
      <c r="E9" s="27" t="s">
        <v>189</v>
      </c>
      <c r="F9" s="95">
        <v>0</v>
      </c>
    </row>
    <row r="10" spans="1:6" ht="30" customHeight="1" x14ac:dyDescent="0.25">
      <c r="A10" s="101">
        <v>7</v>
      </c>
      <c r="B10" s="27" t="s">
        <v>173</v>
      </c>
      <c r="C10" s="95">
        <v>0</v>
      </c>
      <c r="D10" s="101">
        <v>25</v>
      </c>
      <c r="E10" s="27" t="s">
        <v>190</v>
      </c>
      <c r="F10" s="95">
        <v>0</v>
      </c>
    </row>
    <row r="11" spans="1:6" ht="45" customHeight="1" x14ac:dyDescent="0.25">
      <c r="A11" s="101">
        <v>8</v>
      </c>
      <c r="B11" s="27" t="s">
        <v>174</v>
      </c>
      <c r="C11" s="95">
        <v>0</v>
      </c>
      <c r="D11" s="101">
        <v>26</v>
      </c>
      <c r="E11" s="27" t="s">
        <v>194</v>
      </c>
      <c r="F11" s="95">
        <v>0</v>
      </c>
    </row>
    <row r="12" spans="1:6" ht="48" customHeight="1" x14ac:dyDescent="0.25">
      <c r="A12" s="101">
        <v>9</v>
      </c>
      <c r="B12" s="27" t="s">
        <v>175</v>
      </c>
      <c r="C12" s="95">
        <v>0</v>
      </c>
      <c r="D12" s="101">
        <v>27</v>
      </c>
      <c r="E12" s="27" t="s">
        <v>81</v>
      </c>
      <c r="F12" s="95">
        <v>0</v>
      </c>
    </row>
    <row r="13" spans="1:6" ht="46.5" customHeight="1" x14ac:dyDescent="0.25">
      <c r="A13" s="101">
        <v>10</v>
      </c>
      <c r="B13" s="27" t="s">
        <v>176</v>
      </c>
      <c r="C13" s="95">
        <v>0</v>
      </c>
      <c r="D13" s="101">
        <v>28</v>
      </c>
      <c r="E13" s="27" t="s">
        <v>82</v>
      </c>
      <c r="F13" s="95">
        <v>0</v>
      </c>
    </row>
    <row r="14" spans="1:6" ht="30" customHeight="1" x14ac:dyDescent="0.25">
      <c r="A14" s="101">
        <v>11</v>
      </c>
      <c r="B14" s="27" t="s">
        <v>177</v>
      </c>
      <c r="C14" s="95">
        <v>0</v>
      </c>
      <c r="D14" s="101">
        <v>29</v>
      </c>
      <c r="E14" s="27" t="s">
        <v>83</v>
      </c>
      <c r="F14" s="95">
        <v>0</v>
      </c>
    </row>
    <row r="15" spans="1:6" ht="30" customHeight="1" x14ac:dyDescent="0.25">
      <c r="A15" s="101">
        <v>12</v>
      </c>
      <c r="B15" s="27" t="s">
        <v>178</v>
      </c>
      <c r="C15" s="95">
        <v>0</v>
      </c>
      <c r="D15" s="101">
        <v>30</v>
      </c>
      <c r="E15" s="27" t="s">
        <v>84</v>
      </c>
      <c r="F15" s="95">
        <v>0</v>
      </c>
    </row>
    <row r="16" spans="1:6" ht="39" customHeight="1" x14ac:dyDescent="0.25">
      <c r="A16" s="101">
        <v>13</v>
      </c>
      <c r="B16" s="27" t="s">
        <v>179</v>
      </c>
      <c r="C16" s="95">
        <v>0</v>
      </c>
      <c r="D16" s="101">
        <v>31</v>
      </c>
      <c r="E16" s="27" t="s">
        <v>193</v>
      </c>
      <c r="F16" s="95">
        <v>0</v>
      </c>
    </row>
    <row r="17" spans="1:6" ht="30" customHeight="1" x14ac:dyDescent="0.25">
      <c r="A17" s="101">
        <v>14</v>
      </c>
      <c r="B17" s="27" t="s">
        <v>180</v>
      </c>
      <c r="C17" s="95">
        <v>0</v>
      </c>
      <c r="D17" s="101">
        <v>32</v>
      </c>
      <c r="E17" s="27" t="s">
        <v>85</v>
      </c>
      <c r="F17" s="95">
        <v>0</v>
      </c>
    </row>
    <row r="18" spans="1:6" ht="30" customHeight="1" x14ac:dyDescent="0.25">
      <c r="A18" s="101">
        <v>15</v>
      </c>
      <c r="B18" s="27" t="s">
        <v>181</v>
      </c>
      <c r="C18" s="95">
        <v>0</v>
      </c>
      <c r="D18" s="101">
        <v>33</v>
      </c>
      <c r="E18" s="27" t="s">
        <v>86</v>
      </c>
      <c r="F18" s="95">
        <v>0</v>
      </c>
    </row>
    <row r="19" spans="1:6" ht="30" customHeight="1" x14ac:dyDescent="0.25">
      <c r="A19" s="101">
        <v>16</v>
      </c>
      <c r="B19" s="27" t="s">
        <v>182</v>
      </c>
      <c r="C19" s="95">
        <v>0</v>
      </c>
      <c r="D19" s="101">
        <v>34</v>
      </c>
      <c r="E19" s="27" t="s">
        <v>87</v>
      </c>
      <c r="F19" s="95">
        <v>0</v>
      </c>
    </row>
    <row r="20" spans="1:6" ht="30" customHeight="1" x14ac:dyDescent="0.25">
      <c r="A20" s="101">
        <v>17</v>
      </c>
      <c r="B20" s="27" t="s">
        <v>65</v>
      </c>
      <c r="C20" s="95">
        <v>0</v>
      </c>
      <c r="D20" s="101">
        <v>35</v>
      </c>
      <c r="E20" s="27" t="s">
        <v>192</v>
      </c>
      <c r="F20" s="95">
        <v>0</v>
      </c>
    </row>
    <row r="21" spans="1:6" ht="30" customHeight="1" x14ac:dyDescent="0.25">
      <c r="A21" s="101">
        <v>18</v>
      </c>
      <c r="B21" s="27" t="s">
        <v>183</v>
      </c>
      <c r="C21" s="95">
        <v>0</v>
      </c>
      <c r="D21" s="101">
        <v>36</v>
      </c>
      <c r="E21" s="27" t="s">
        <v>191</v>
      </c>
      <c r="F21" s="95">
        <v>0</v>
      </c>
    </row>
  </sheetData>
  <sheetProtection algorithmName="SHA-512" hashValue="ulGeHnNOt0MYDTUmZuMWI/iQwZA09DIyDr4bHssuzmqnswwpfkwgnxe/j9/JrnApElA3am3eG5zZF9gJRjRPfw==" saltValue="6ECjNeMnJKI/iKTothLrJQ==" spinCount="100000" sheet="1" objects="1" scenarios="1" selectLockedCells="1"/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3FA3B-FF99-408A-8F7B-BBCD758A50BB}">
  <sheetPr>
    <tabColor rgb="FFFF0000"/>
  </sheetPr>
  <dimension ref="A1:M29"/>
  <sheetViews>
    <sheetView zoomScaleNormal="100" workbookViewId="0">
      <selection activeCell="C9" sqref="C9"/>
    </sheetView>
  </sheetViews>
  <sheetFormatPr defaultColWidth="0" defaultRowHeight="14.25" zeroHeight="1" x14ac:dyDescent="0.2"/>
  <cols>
    <col min="1" max="1" width="2.140625" style="93" customWidth="1"/>
    <col min="2" max="2" width="43.140625" style="93" bestFit="1" customWidth="1"/>
    <col min="3" max="3" width="20" style="93" customWidth="1"/>
    <col min="4" max="4" width="2.5703125" style="93" customWidth="1"/>
    <col min="5" max="5" width="40.28515625" style="93" bestFit="1" customWidth="1"/>
    <col min="6" max="6" width="17.28515625" style="93" customWidth="1"/>
    <col min="7" max="7" width="1.85546875" style="93" customWidth="1"/>
    <col min="8" max="11" width="9.140625" style="93" hidden="1" customWidth="1"/>
    <col min="12" max="12" width="19.140625" style="93" hidden="1" customWidth="1"/>
    <col min="13" max="13" width="13.140625" style="93" hidden="1" customWidth="1"/>
    <col min="14" max="16384" width="9.140625" style="93" hidden="1"/>
  </cols>
  <sheetData>
    <row r="1" spans="2:13" s="30" customFormat="1" ht="15" thickBot="1" x14ac:dyDescent="0.25"/>
    <row r="2" spans="2:13" s="30" customFormat="1" ht="18.75" thickBot="1" x14ac:dyDescent="0.25">
      <c r="B2" s="137" t="s">
        <v>198</v>
      </c>
      <c r="C2" s="138"/>
      <c r="E2" s="139" t="s">
        <v>208</v>
      </c>
      <c r="F2" s="140"/>
    </row>
    <row r="3" spans="2:13" s="30" customFormat="1" ht="9" customHeight="1" x14ac:dyDescent="0.2">
      <c r="C3" s="65"/>
    </row>
    <row r="4" spans="2:13" s="30" customFormat="1" ht="20.100000000000001" customHeight="1" thickBot="1" x14ac:dyDescent="0.25">
      <c r="B4" s="109" t="s">
        <v>199</v>
      </c>
      <c r="C4" s="104">
        <f>SUM('GA 55A'!B8:B19)</f>
        <v>750000</v>
      </c>
      <c r="E4" s="109" t="s">
        <v>209</v>
      </c>
      <c r="F4" s="104">
        <f>'Tax Calculaton Old'!M4</f>
        <v>1261870</v>
      </c>
      <c r="L4" s="105">
        <f>SUM('GA 55A'!B8:C19)</f>
        <v>1170739</v>
      </c>
      <c r="M4" s="105">
        <f>C6</f>
        <v>75000</v>
      </c>
    </row>
    <row r="5" spans="2:13" s="30" customFormat="1" ht="20.100000000000001" customHeight="1" thickBot="1" x14ac:dyDescent="0.25">
      <c r="B5" s="109" t="s">
        <v>200</v>
      </c>
      <c r="C5" s="104">
        <f>SUM('GA 55A'!C8:C19)</f>
        <v>420739</v>
      </c>
      <c r="E5" s="139" t="s">
        <v>197</v>
      </c>
      <c r="F5" s="140"/>
      <c r="L5" s="105">
        <f>ROUND(L4*10%,0)</f>
        <v>117074</v>
      </c>
      <c r="M5" s="105">
        <f>C11</f>
        <v>468296</v>
      </c>
    </row>
    <row r="6" spans="2:13" s="30" customFormat="1" ht="20.100000000000001" customHeight="1" x14ac:dyDescent="0.2">
      <c r="B6" s="109" t="s">
        <v>201</v>
      </c>
      <c r="C6" s="104">
        <f>SUM('GA 55A'!D8:D19)</f>
        <v>75000</v>
      </c>
      <c r="E6" s="109" t="s">
        <v>210</v>
      </c>
      <c r="F6" s="104">
        <f>'Tax Calculaton Old'!M61</f>
        <v>138285</v>
      </c>
      <c r="L6" s="105">
        <f>IF(C9="Yes",ROUND(L4*50%,0),ROUND(L4*40%,0))</f>
        <v>468296</v>
      </c>
      <c r="M6" s="105">
        <f>IF((C8-L5)&lt;0,0,(C8-L5))</f>
        <v>2926</v>
      </c>
    </row>
    <row r="7" spans="2:13" s="30" customFormat="1" ht="20.100000000000001" customHeight="1" x14ac:dyDescent="0.2">
      <c r="C7" s="103"/>
      <c r="E7" s="109" t="s">
        <v>211</v>
      </c>
      <c r="F7" s="104">
        <f>'Tax Calculaton New'!M52</f>
        <v>0</v>
      </c>
      <c r="M7" s="105">
        <f>MIN(M4:M6)</f>
        <v>2926</v>
      </c>
    </row>
    <row r="8" spans="2:13" s="30" customFormat="1" ht="20.100000000000001" customHeight="1" x14ac:dyDescent="0.2">
      <c r="B8" s="109" t="s">
        <v>202</v>
      </c>
      <c r="C8" s="118">
        <v>120000</v>
      </c>
      <c r="E8" s="109" t="s">
        <v>212</v>
      </c>
      <c r="F8" s="106">
        <f>'GA 55A'!V28</f>
        <v>12000</v>
      </c>
    </row>
    <row r="9" spans="2:13" s="30" customFormat="1" ht="20.100000000000001" customHeight="1" x14ac:dyDescent="0.2">
      <c r="B9" s="109" t="s">
        <v>203</v>
      </c>
      <c r="C9" s="102" t="s">
        <v>207</v>
      </c>
      <c r="E9" s="109" t="s">
        <v>115</v>
      </c>
      <c r="F9" s="107">
        <f>'Tax Calculaton Old'!M31</f>
        <v>143651</v>
      </c>
    </row>
    <row r="10" spans="2:13" s="30" customFormat="1" ht="20.100000000000001" customHeight="1" x14ac:dyDescent="0.2">
      <c r="B10" s="109" t="s">
        <v>204</v>
      </c>
      <c r="C10" s="104">
        <f>M6</f>
        <v>2926</v>
      </c>
      <c r="E10" s="109" t="s">
        <v>213</v>
      </c>
      <c r="F10" s="108">
        <f>ROUND(0.1*L4,0)+M4</f>
        <v>192074</v>
      </c>
    </row>
    <row r="11" spans="2:13" s="30" customFormat="1" ht="20.100000000000001" customHeight="1" x14ac:dyDescent="0.2">
      <c r="B11" s="109" t="str">
        <f>IF(C9="Yes","50% of Salary (Basic +DA)","40% of Salary (Basic +DA)")</f>
        <v>40% of Salary (Basic +DA)</v>
      </c>
      <c r="C11" s="104">
        <f>IF(C9="Yes",ROUND(SUM(C4:C5)*50%,0),ROUND(SUM(C4:C5)*40%,0))</f>
        <v>468296</v>
      </c>
      <c r="E11" s="109" t="s">
        <v>222</v>
      </c>
      <c r="F11" s="108">
        <f>ROUND(F10/12,0)</f>
        <v>16006</v>
      </c>
    </row>
    <row r="12" spans="2:13" s="30" customFormat="1" ht="20.100000000000001" customHeight="1" x14ac:dyDescent="0.2">
      <c r="B12" s="109" t="s">
        <v>205</v>
      </c>
      <c r="C12" s="104">
        <f>M7</f>
        <v>2926</v>
      </c>
    </row>
    <row r="13" spans="2:13" s="30" customFormat="1" ht="20.100000000000001" customHeight="1" x14ac:dyDescent="0.2">
      <c r="B13" s="109" t="s">
        <v>206</v>
      </c>
      <c r="C13" s="104">
        <f>C6-C12</f>
        <v>72074</v>
      </c>
    </row>
    <row r="14" spans="2:13" s="30" customFormat="1" x14ac:dyDescent="0.2"/>
    <row r="16" spans="2:13" hidden="1" x14ac:dyDescent="0.2">
      <c r="M16" s="94"/>
    </row>
    <row r="22" spans="2:2" ht="21" hidden="1" customHeight="1" x14ac:dyDescent="0.2"/>
    <row r="23" spans="2:2" hidden="1" x14ac:dyDescent="0.2">
      <c r="B23" s="94"/>
    </row>
    <row r="25" spans="2:2" hidden="1" x14ac:dyDescent="0.2">
      <c r="B25" s="94"/>
    </row>
    <row r="29" spans="2:2" hidden="1" x14ac:dyDescent="0.2">
      <c r="B29" s="94"/>
    </row>
  </sheetData>
  <sheetProtection algorithmName="SHA-512" hashValue="N5kORfonItfJcYBAsdtGtU4LP6oXN9afDHzLSir13nZph0dd6bx/dvJtqIr0KRidxH9Sy/LMzkl4jGYJ4Lf7KA==" saltValue="CEB1zSh0nW6QdQGfxAbkPw==" spinCount="100000" sheet="1" selectLockedCells="1"/>
  <mergeCells count="3">
    <mergeCell ref="B2:C2"/>
    <mergeCell ref="E2:F2"/>
    <mergeCell ref="E5:F5"/>
  </mergeCells>
  <dataValidations count="1">
    <dataValidation type="list" allowBlank="1" showInputMessage="1" showErrorMessage="1" sqref="C9" xr:uid="{E0B843B8-C2A8-4D68-96C3-9649C945217E}">
      <formula1>"Yes,No"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7">
    <tabColor rgb="FFFF0000"/>
  </sheetPr>
  <dimension ref="A1:S66"/>
  <sheetViews>
    <sheetView view="pageBreakPreview" zoomScaleNormal="115" zoomScaleSheetLayoutView="100" workbookViewId="0">
      <selection activeCell="N56" sqref="N56"/>
    </sheetView>
  </sheetViews>
  <sheetFormatPr defaultRowHeight="15" customHeight="1" x14ac:dyDescent="0.25"/>
  <cols>
    <col min="1" max="1" width="6.28515625" style="3" customWidth="1"/>
    <col min="2" max="2" width="5.85546875" style="3" customWidth="1"/>
    <col min="3" max="3" width="8.42578125" style="3" customWidth="1"/>
    <col min="4" max="4" width="7" style="3" customWidth="1"/>
    <col min="5" max="5" width="9.5703125" style="3" customWidth="1"/>
    <col min="6" max="6" width="6.140625" style="3" customWidth="1"/>
    <col min="7" max="7" width="9.5703125" style="3" customWidth="1"/>
    <col min="8" max="8" width="5.42578125" style="3" customWidth="1"/>
    <col min="9" max="9" width="8.5703125" style="3" customWidth="1"/>
    <col min="10" max="10" width="8" style="3" customWidth="1"/>
    <col min="11" max="12" width="14.7109375" style="3" customWidth="1"/>
    <col min="13" max="13" width="13.7109375" style="3" customWidth="1"/>
    <col min="14" max="14" width="9.140625" style="3" customWidth="1"/>
    <col min="15" max="15" width="11.85546875" style="3" customWidth="1"/>
    <col min="16" max="16" width="9.140625" style="3" customWidth="1"/>
    <col min="17" max="16384" width="9.140625" style="3"/>
  </cols>
  <sheetData>
    <row r="1" spans="1:19" ht="18.75" customHeight="1" x14ac:dyDescent="0.25">
      <c r="A1" s="141" t="str">
        <f>'GA 55A'!A1</f>
        <v>Office of the Principal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3"/>
    </row>
    <row r="2" spans="1:19" ht="16.5" customHeight="1" x14ac:dyDescent="0.25">
      <c r="A2" s="144" t="s">
        <v>226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6"/>
    </row>
    <row r="3" spans="1:19" ht="15" customHeight="1" x14ac:dyDescent="0.25">
      <c r="A3" s="10">
        <v>1</v>
      </c>
      <c r="B3" s="147" t="s">
        <v>35</v>
      </c>
      <c r="C3" s="148"/>
      <c r="D3" s="149" t="str">
        <f>IF(Master!C5="","",Master!C5)</f>
        <v>MOHIT SINGH</v>
      </c>
      <c r="E3" s="150"/>
      <c r="F3" s="150"/>
      <c r="G3" s="150"/>
      <c r="H3" s="151"/>
      <c r="I3" s="15" t="s">
        <v>36</v>
      </c>
      <c r="J3" s="152" t="str">
        <f>IF(Master!E5="","",Master!E5)</f>
        <v>Lecturer</v>
      </c>
      <c r="K3" s="153"/>
      <c r="L3" s="15" t="s">
        <v>37</v>
      </c>
      <c r="M3" s="21" t="str">
        <f>IF(Master!C7="","",Master!C7)</f>
        <v>EKSPS8037K</v>
      </c>
    </row>
    <row r="4" spans="1:19" ht="15" customHeight="1" x14ac:dyDescent="0.25">
      <c r="A4" s="10">
        <v>2</v>
      </c>
      <c r="B4" s="147" t="s">
        <v>215</v>
      </c>
      <c r="C4" s="154"/>
      <c r="D4" s="154"/>
      <c r="E4" s="154"/>
      <c r="F4" s="154"/>
      <c r="G4" s="154"/>
      <c r="H4" s="154"/>
      <c r="I4" s="154"/>
      <c r="J4" s="154"/>
      <c r="K4" s="154"/>
      <c r="L4" s="148"/>
      <c r="M4" s="18">
        <f>'GA 55A'!J28</f>
        <v>1261870</v>
      </c>
      <c r="O4" s="6"/>
      <c r="P4" s="6"/>
    </row>
    <row r="5" spans="1:19" ht="15" customHeight="1" x14ac:dyDescent="0.25">
      <c r="A5" s="10">
        <v>3</v>
      </c>
      <c r="B5" s="165" t="s">
        <v>38</v>
      </c>
      <c r="C5" s="166"/>
      <c r="D5" s="166"/>
      <c r="E5" s="166"/>
      <c r="F5" s="166"/>
      <c r="G5" s="166"/>
      <c r="H5" s="166"/>
      <c r="I5" s="166"/>
      <c r="J5" s="166"/>
      <c r="K5" s="166"/>
      <c r="L5" s="167"/>
      <c r="M5" s="18">
        <f>Oth.Deductions!C4</f>
        <v>0</v>
      </c>
      <c r="O5" s="6"/>
    </row>
    <row r="6" spans="1:19" ht="15" customHeight="1" x14ac:dyDescent="0.25">
      <c r="A6" s="10">
        <v>4</v>
      </c>
      <c r="B6" s="168" t="s">
        <v>39</v>
      </c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8">
        <f>M4-M5</f>
        <v>1261870</v>
      </c>
      <c r="O6" s="6"/>
      <c r="P6" s="6"/>
    </row>
    <row r="7" spans="1:19" ht="15" customHeight="1" x14ac:dyDescent="0.25">
      <c r="A7" s="169">
        <v>5</v>
      </c>
      <c r="B7" s="172" t="s">
        <v>40</v>
      </c>
      <c r="C7" s="172"/>
      <c r="D7" s="172"/>
      <c r="E7" s="172"/>
      <c r="F7" s="172"/>
      <c r="G7" s="172"/>
      <c r="H7" s="172"/>
      <c r="I7" s="172"/>
      <c r="J7" s="172"/>
      <c r="K7" s="172"/>
      <c r="L7" s="19">
        <f>IF($M$6&gt;50000,50000,$M$6)</f>
        <v>50000</v>
      </c>
      <c r="M7" s="155"/>
      <c r="O7" s="6"/>
      <c r="P7" s="6"/>
    </row>
    <row r="8" spans="1:19" ht="15" customHeight="1" x14ac:dyDescent="0.25">
      <c r="A8" s="170"/>
      <c r="B8" s="173" t="s">
        <v>41</v>
      </c>
      <c r="C8" s="174"/>
      <c r="D8" s="174"/>
      <c r="E8" s="174"/>
      <c r="F8" s="174"/>
      <c r="G8" s="174"/>
      <c r="H8" s="174"/>
      <c r="I8" s="174"/>
      <c r="J8" s="174"/>
      <c r="K8" s="175"/>
      <c r="L8" s="19">
        <f>Oth.Deductions!C5</f>
        <v>0</v>
      </c>
      <c r="M8" s="156"/>
      <c r="R8" s="111"/>
      <c r="S8" s="111"/>
    </row>
    <row r="9" spans="1:19" ht="15" customHeight="1" x14ac:dyDescent="0.25">
      <c r="A9" s="170"/>
      <c r="B9" s="173" t="s">
        <v>42</v>
      </c>
      <c r="C9" s="174"/>
      <c r="D9" s="174"/>
      <c r="E9" s="174"/>
      <c r="F9" s="174"/>
      <c r="G9" s="174"/>
      <c r="H9" s="174"/>
      <c r="I9" s="174"/>
      <c r="J9" s="174"/>
      <c r="K9" s="175"/>
      <c r="L9" s="19">
        <f>Oth.Deductions!C6</f>
        <v>0</v>
      </c>
      <c r="M9" s="157"/>
      <c r="R9" s="111"/>
      <c r="S9" s="111"/>
    </row>
    <row r="10" spans="1:19" ht="15" customHeight="1" x14ac:dyDescent="0.25">
      <c r="A10" s="171"/>
      <c r="B10" s="176" t="s">
        <v>43</v>
      </c>
      <c r="C10" s="177"/>
      <c r="D10" s="177"/>
      <c r="E10" s="177"/>
      <c r="F10" s="177"/>
      <c r="G10" s="177"/>
      <c r="H10" s="177"/>
      <c r="I10" s="177"/>
      <c r="J10" s="177"/>
      <c r="K10" s="177"/>
      <c r="L10" s="178"/>
      <c r="M10" s="18">
        <f>SUM(L7:L9)</f>
        <v>50000</v>
      </c>
      <c r="R10" s="111"/>
      <c r="S10" s="111"/>
    </row>
    <row r="11" spans="1:19" ht="15" customHeight="1" x14ac:dyDescent="0.25">
      <c r="A11" s="10">
        <v>6</v>
      </c>
      <c r="B11" s="176" t="s">
        <v>44</v>
      </c>
      <c r="C11" s="177"/>
      <c r="D11" s="177"/>
      <c r="E11" s="177"/>
      <c r="F11" s="177"/>
      <c r="G11" s="177"/>
      <c r="H11" s="177"/>
      <c r="I11" s="177"/>
      <c r="J11" s="177"/>
      <c r="K11" s="177"/>
      <c r="L11" s="178"/>
      <c r="M11" s="18">
        <f>M6-M10</f>
        <v>1211870</v>
      </c>
      <c r="R11" s="111"/>
      <c r="S11" s="111"/>
    </row>
    <row r="12" spans="1:19" ht="15" customHeight="1" x14ac:dyDescent="0.25">
      <c r="A12" s="169">
        <v>7</v>
      </c>
      <c r="B12" s="185" t="s">
        <v>45</v>
      </c>
      <c r="C12" s="185"/>
      <c r="D12" s="185"/>
      <c r="E12" s="185"/>
      <c r="F12" s="185"/>
      <c r="G12" s="185"/>
      <c r="H12" s="163" t="s">
        <v>46</v>
      </c>
      <c r="I12" s="179"/>
      <c r="J12" s="164"/>
      <c r="K12" s="186">
        <f>Oth.Deductions!C7</f>
        <v>0</v>
      </c>
      <c r="L12" s="187"/>
      <c r="M12" s="155"/>
    </row>
    <row r="13" spans="1:19" ht="15" customHeight="1" x14ac:dyDescent="0.25">
      <c r="A13" s="170"/>
      <c r="B13" s="158" t="s">
        <v>47</v>
      </c>
      <c r="C13" s="159"/>
      <c r="D13" s="162" t="s">
        <v>48</v>
      </c>
      <c r="E13" s="162"/>
      <c r="F13" s="162" t="s">
        <v>49</v>
      </c>
      <c r="G13" s="162"/>
      <c r="H13" s="163" t="s">
        <v>50</v>
      </c>
      <c r="I13" s="164"/>
      <c r="J13" s="163" t="s">
        <v>51</v>
      </c>
      <c r="K13" s="179"/>
      <c r="L13" s="164"/>
      <c r="M13" s="156"/>
    </row>
    <row r="14" spans="1:19" ht="15" customHeight="1" x14ac:dyDescent="0.25">
      <c r="A14" s="170"/>
      <c r="B14" s="160"/>
      <c r="C14" s="161"/>
      <c r="D14" s="180">
        <f>ROUND($K$12*0.3,0)</f>
        <v>0</v>
      </c>
      <c r="E14" s="181"/>
      <c r="F14" s="180">
        <f>Oth.Deductions!C10</f>
        <v>0</v>
      </c>
      <c r="G14" s="181"/>
      <c r="H14" s="182">
        <v>0</v>
      </c>
      <c r="I14" s="183"/>
      <c r="J14" s="180">
        <f>SUM(D14:I14)</f>
        <v>0</v>
      </c>
      <c r="K14" s="184"/>
      <c r="L14" s="181"/>
      <c r="M14" s="157"/>
    </row>
    <row r="15" spans="1:19" ht="15" customHeight="1" x14ac:dyDescent="0.25">
      <c r="A15" s="171"/>
      <c r="B15" s="168" t="s">
        <v>52</v>
      </c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8">
        <f>$K$12-$J$14</f>
        <v>0</v>
      </c>
    </row>
    <row r="16" spans="1:19" ht="15" customHeight="1" x14ac:dyDescent="0.25">
      <c r="A16" s="10">
        <v>8</v>
      </c>
      <c r="B16" s="188" t="s">
        <v>53</v>
      </c>
      <c r="C16" s="189"/>
      <c r="D16" s="189"/>
      <c r="E16" s="189"/>
      <c r="F16" s="189"/>
      <c r="G16" s="189"/>
      <c r="H16" s="189"/>
      <c r="I16" s="189"/>
      <c r="J16" s="189"/>
      <c r="K16" s="189"/>
      <c r="L16" s="190"/>
      <c r="M16" s="18">
        <f>$M$11+$M$15</f>
        <v>1211870</v>
      </c>
    </row>
    <row r="17" spans="1:13" ht="15" customHeight="1" x14ac:dyDescent="0.25">
      <c r="A17" s="10">
        <v>9</v>
      </c>
      <c r="B17" s="176" t="s">
        <v>54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8"/>
      <c r="M17" s="18">
        <f>SUM(Oth.Deductions!F4:F6)</f>
        <v>0</v>
      </c>
    </row>
    <row r="18" spans="1:13" ht="15" customHeight="1" x14ac:dyDescent="0.25">
      <c r="A18" s="10">
        <v>10</v>
      </c>
      <c r="B18" s="191" t="s">
        <v>55</v>
      </c>
      <c r="C18" s="192"/>
      <c r="D18" s="192"/>
      <c r="E18" s="192"/>
      <c r="F18" s="192"/>
      <c r="G18" s="192"/>
      <c r="H18" s="192"/>
      <c r="I18" s="192"/>
      <c r="J18" s="192"/>
      <c r="K18" s="192"/>
      <c r="L18" s="193"/>
      <c r="M18" s="18">
        <f>SUM(M16:M17)</f>
        <v>1211870</v>
      </c>
    </row>
    <row r="19" spans="1:13" ht="15" customHeight="1" x14ac:dyDescent="0.25">
      <c r="A19" s="10">
        <v>11</v>
      </c>
      <c r="B19" s="173" t="s">
        <v>56</v>
      </c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94"/>
    </row>
    <row r="20" spans="1:13" ht="15" customHeight="1" x14ac:dyDescent="0.25">
      <c r="A20" s="10"/>
      <c r="B20" s="173" t="s">
        <v>57</v>
      </c>
      <c r="C20" s="174"/>
      <c r="D20" s="174"/>
      <c r="E20" s="174"/>
      <c r="F20" s="174"/>
      <c r="G20" s="174"/>
      <c r="H20" s="174"/>
      <c r="I20" s="174"/>
      <c r="J20" s="174"/>
      <c r="K20" s="174"/>
      <c r="L20" s="174"/>
      <c r="M20" s="194"/>
    </row>
    <row r="21" spans="1:13" ht="15" customHeight="1" x14ac:dyDescent="0.25">
      <c r="A21" s="10"/>
      <c r="B21" s="15">
        <v>1</v>
      </c>
      <c r="C21" s="173" t="s">
        <v>58</v>
      </c>
      <c r="D21" s="174"/>
      <c r="E21" s="175"/>
      <c r="F21" s="195">
        <f>'GA 55A'!$K$28</f>
        <v>84000</v>
      </c>
      <c r="G21" s="196"/>
      <c r="H21" s="15">
        <v>11</v>
      </c>
      <c r="I21" s="173" t="s">
        <v>59</v>
      </c>
      <c r="J21" s="174"/>
      <c r="K21" s="175"/>
      <c r="L21" s="69">
        <v>0</v>
      </c>
      <c r="M21" s="155"/>
    </row>
    <row r="22" spans="1:13" ht="15" customHeight="1" x14ac:dyDescent="0.25">
      <c r="A22" s="10"/>
      <c r="B22" s="15">
        <v>2</v>
      </c>
      <c r="C22" s="173" t="s">
        <v>17</v>
      </c>
      <c r="D22" s="174"/>
      <c r="E22" s="175"/>
      <c r="F22" s="195">
        <f>'GA 55A'!R28+Oth.Deductions!C11</f>
        <v>0</v>
      </c>
      <c r="G22" s="196"/>
      <c r="H22" s="15">
        <v>12</v>
      </c>
      <c r="I22" s="173" t="s">
        <v>60</v>
      </c>
      <c r="J22" s="174"/>
      <c r="K22" s="175"/>
      <c r="L22" s="112">
        <f>Oth.Deductions!F8</f>
        <v>0</v>
      </c>
      <c r="M22" s="156"/>
    </row>
    <row r="23" spans="1:13" ht="15" customHeight="1" x14ac:dyDescent="0.25">
      <c r="A23" s="10"/>
      <c r="B23" s="15">
        <v>3</v>
      </c>
      <c r="C23" s="173" t="str">
        <f>'GA 55A'!N7</f>
        <v>GPF-2004</v>
      </c>
      <c r="D23" s="174"/>
      <c r="E23" s="175"/>
      <c r="F23" s="195">
        <f>'GA 55A'!N28</f>
        <v>58951</v>
      </c>
      <c r="G23" s="196"/>
      <c r="H23" s="15">
        <v>13</v>
      </c>
      <c r="I23" s="173" t="s">
        <v>61</v>
      </c>
      <c r="J23" s="174"/>
      <c r="K23" s="175"/>
      <c r="L23" s="112">
        <f>Oth.Deductions!C16</f>
        <v>0</v>
      </c>
      <c r="M23" s="156"/>
    </row>
    <row r="24" spans="1:13" ht="15" customHeight="1" x14ac:dyDescent="0.25">
      <c r="A24" s="10"/>
      <c r="B24" s="15">
        <v>4</v>
      </c>
      <c r="C24" s="173" t="s">
        <v>62</v>
      </c>
      <c r="D24" s="174"/>
      <c r="E24" s="175"/>
      <c r="F24" s="195">
        <f>Oth.Deductions!C15</f>
        <v>0</v>
      </c>
      <c r="G24" s="196"/>
      <c r="H24" s="15">
        <v>14</v>
      </c>
      <c r="I24" s="173" t="s">
        <v>63</v>
      </c>
      <c r="J24" s="174"/>
      <c r="K24" s="175"/>
      <c r="L24" s="112">
        <f>Oth.Deductions!C13</f>
        <v>0</v>
      </c>
      <c r="M24" s="156"/>
    </row>
    <row r="25" spans="1:13" ht="15" customHeight="1" x14ac:dyDescent="0.25">
      <c r="A25" s="10"/>
      <c r="B25" s="15">
        <v>5</v>
      </c>
      <c r="C25" s="173" t="s">
        <v>64</v>
      </c>
      <c r="D25" s="174"/>
      <c r="E25" s="175"/>
      <c r="F25" s="195">
        <f>Oth.Deductions!C17</f>
        <v>0</v>
      </c>
      <c r="G25" s="196"/>
      <c r="H25" s="15">
        <v>15</v>
      </c>
      <c r="I25" s="173" t="s">
        <v>65</v>
      </c>
      <c r="J25" s="174"/>
      <c r="K25" s="175"/>
      <c r="L25" s="112">
        <f>Oth.Deductions!C20</f>
        <v>0</v>
      </c>
      <c r="M25" s="156"/>
    </row>
    <row r="26" spans="1:13" ht="15" customHeight="1" x14ac:dyDescent="0.25">
      <c r="A26" s="10"/>
      <c r="B26" s="15">
        <v>6</v>
      </c>
      <c r="C26" s="173" t="s">
        <v>66</v>
      </c>
      <c r="D26" s="174"/>
      <c r="E26" s="175"/>
      <c r="F26" s="195">
        <f>Oth.Deductions!C18</f>
        <v>0</v>
      </c>
      <c r="G26" s="196"/>
      <c r="H26" s="15">
        <v>16</v>
      </c>
      <c r="I26" s="173" t="s">
        <v>67</v>
      </c>
      <c r="J26" s="174"/>
      <c r="K26" s="175"/>
      <c r="L26" s="112">
        <f>Oth.Deductions!C21</f>
        <v>0</v>
      </c>
      <c r="M26" s="156"/>
    </row>
    <row r="27" spans="1:13" ht="15" customHeight="1" x14ac:dyDescent="0.25">
      <c r="A27" s="10"/>
      <c r="B27" s="15">
        <v>7</v>
      </c>
      <c r="C27" s="173" t="s">
        <v>16</v>
      </c>
      <c r="D27" s="174"/>
      <c r="E27" s="175"/>
      <c r="F27" s="195">
        <f>'GA 55A'!Q28</f>
        <v>700</v>
      </c>
      <c r="G27" s="196"/>
      <c r="H27" s="15">
        <v>17</v>
      </c>
      <c r="I27" s="173" t="s">
        <v>68</v>
      </c>
      <c r="J27" s="174"/>
      <c r="K27" s="175"/>
      <c r="L27" s="112">
        <f>Oth.Deductions!C12</f>
        <v>0</v>
      </c>
      <c r="M27" s="156"/>
    </row>
    <row r="28" spans="1:13" ht="15" customHeight="1" x14ac:dyDescent="0.25">
      <c r="A28" s="10"/>
      <c r="B28" s="15">
        <v>8</v>
      </c>
      <c r="C28" s="173" t="s">
        <v>69</v>
      </c>
      <c r="D28" s="174"/>
      <c r="E28" s="175"/>
      <c r="F28" s="195">
        <f>Oth.Deductions!C14</f>
        <v>0</v>
      </c>
      <c r="G28" s="196"/>
      <c r="H28" s="15">
        <v>18</v>
      </c>
      <c r="I28" s="173" t="s">
        <v>70</v>
      </c>
      <c r="J28" s="174"/>
      <c r="K28" s="175"/>
      <c r="L28" s="112">
        <f>Oth.Deductions!F7</f>
        <v>0</v>
      </c>
      <c r="M28" s="156"/>
    </row>
    <row r="29" spans="1:13" ht="15" customHeight="1" x14ac:dyDescent="0.25">
      <c r="A29" s="10"/>
      <c r="B29" s="15">
        <v>9</v>
      </c>
      <c r="C29" s="173" t="s">
        <v>71</v>
      </c>
      <c r="D29" s="174"/>
      <c r="E29" s="175"/>
      <c r="F29" s="195">
        <f>Oth.Deductions!C9</f>
        <v>0</v>
      </c>
      <c r="G29" s="196"/>
      <c r="H29" s="197">
        <v>19</v>
      </c>
      <c r="I29" s="158" t="s">
        <v>72</v>
      </c>
      <c r="J29" s="199"/>
      <c r="K29" s="159"/>
      <c r="L29" s="201">
        <f>SUM(F21:G30,L21:L28)</f>
        <v>143651</v>
      </c>
      <c r="M29" s="156"/>
    </row>
    <row r="30" spans="1:13" ht="15" customHeight="1" x14ac:dyDescent="0.25">
      <c r="A30" s="10"/>
      <c r="B30" s="15">
        <v>10</v>
      </c>
      <c r="C30" s="185" t="s">
        <v>73</v>
      </c>
      <c r="D30" s="185"/>
      <c r="E30" s="185"/>
      <c r="F30" s="195">
        <f>Oth.Deductions!C19</f>
        <v>0</v>
      </c>
      <c r="G30" s="196"/>
      <c r="H30" s="198"/>
      <c r="I30" s="160"/>
      <c r="J30" s="200"/>
      <c r="K30" s="161"/>
      <c r="L30" s="202"/>
      <c r="M30" s="157"/>
    </row>
    <row r="31" spans="1:13" ht="15" customHeight="1" x14ac:dyDescent="0.25">
      <c r="A31" s="70"/>
      <c r="B31" s="168" t="s">
        <v>74</v>
      </c>
      <c r="C31" s="168"/>
      <c r="D31" s="168"/>
      <c r="E31" s="168"/>
      <c r="F31" s="168"/>
      <c r="G31" s="168"/>
      <c r="H31" s="168"/>
      <c r="I31" s="168"/>
      <c r="J31" s="168"/>
      <c r="K31" s="168"/>
      <c r="L31" s="168"/>
      <c r="M31" s="20">
        <f>IF($L$29&lt;150001,ROUND($L$29,0),150000)</f>
        <v>143651</v>
      </c>
    </row>
    <row r="32" spans="1:13" ht="15" customHeight="1" x14ac:dyDescent="0.25">
      <c r="A32" s="10"/>
      <c r="B32" s="14" t="s">
        <v>75</v>
      </c>
      <c r="C32" s="172" t="s">
        <v>76</v>
      </c>
      <c r="D32" s="172"/>
      <c r="E32" s="172"/>
      <c r="F32" s="172"/>
      <c r="G32" s="172"/>
      <c r="H32" s="172"/>
      <c r="I32" s="172"/>
      <c r="J32" s="172"/>
      <c r="K32" s="172"/>
      <c r="L32" s="172"/>
      <c r="M32" s="5">
        <v>0</v>
      </c>
    </row>
    <row r="33" spans="1:13" ht="15" customHeight="1" x14ac:dyDescent="0.25">
      <c r="A33" s="10"/>
      <c r="B33" s="14" t="s">
        <v>77</v>
      </c>
      <c r="C33" s="172" t="s">
        <v>78</v>
      </c>
      <c r="D33" s="172"/>
      <c r="E33" s="172"/>
      <c r="F33" s="172"/>
      <c r="G33" s="172"/>
      <c r="H33" s="172"/>
      <c r="I33" s="172"/>
      <c r="J33" s="172"/>
      <c r="K33" s="172"/>
      <c r="L33" s="172"/>
      <c r="M33" s="1">
        <f>IF(Oth.Deductions!F10&gt;=50000,50000,Oth.Deductions!F10)</f>
        <v>0</v>
      </c>
    </row>
    <row r="34" spans="1:13" ht="15" customHeight="1" x14ac:dyDescent="0.25">
      <c r="A34" s="10"/>
      <c r="B34" s="168" t="s">
        <v>79</v>
      </c>
      <c r="C34" s="168"/>
      <c r="D34" s="168"/>
      <c r="E34" s="168"/>
      <c r="F34" s="168"/>
      <c r="G34" s="168"/>
      <c r="H34" s="168"/>
      <c r="I34" s="168"/>
      <c r="J34" s="168"/>
      <c r="K34" s="168"/>
      <c r="L34" s="168"/>
      <c r="M34" s="18">
        <f>SUM(M31:M33)</f>
        <v>143651</v>
      </c>
    </row>
    <row r="35" spans="1:13" ht="15" customHeight="1" x14ac:dyDescent="0.25">
      <c r="A35" s="10">
        <v>12</v>
      </c>
      <c r="B35" s="185" t="s">
        <v>80</v>
      </c>
      <c r="C35" s="185"/>
      <c r="D35" s="185"/>
      <c r="E35" s="185"/>
      <c r="F35" s="185"/>
      <c r="G35" s="185"/>
      <c r="H35" s="185"/>
      <c r="I35" s="185"/>
      <c r="J35" s="185"/>
      <c r="K35" s="185"/>
      <c r="L35" s="185"/>
      <c r="M35" s="5"/>
    </row>
    <row r="36" spans="1:13" ht="15" customHeight="1" x14ac:dyDescent="0.25">
      <c r="A36" s="10"/>
      <c r="B36" s="15">
        <v>1</v>
      </c>
      <c r="C36" s="175" t="s">
        <v>120</v>
      </c>
      <c r="D36" s="172"/>
      <c r="E36" s="172"/>
      <c r="F36" s="172"/>
      <c r="G36" s="172"/>
      <c r="H36" s="172"/>
      <c r="I36" s="172"/>
      <c r="J36" s="172"/>
      <c r="K36" s="172"/>
      <c r="L36" s="172"/>
      <c r="M36" s="1">
        <f>Oth.Deductions!F11</f>
        <v>0</v>
      </c>
    </row>
    <row r="37" spans="1:13" ht="15" customHeight="1" x14ac:dyDescent="0.25">
      <c r="A37" s="10"/>
      <c r="B37" s="15">
        <v>2</v>
      </c>
      <c r="C37" s="175" t="s">
        <v>81</v>
      </c>
      <c r="D37" s="172"/>
      <c r="E37" s="172"/>
      <c r="F37" s="172"/>
      <c r="G37" s="172"/>
      <c r="H37" s="172"/>
      <c r="I37" s="172"/>
      <c r="J37" s="172"/>
      <c r="K37" s="172"/>
      <c r="L37" s="172"/>
      <c r="M37" s="1">
        <f>Oth.Deductions!F12</f>
        <v>0</v>
      </c>
    </row>
    <row r="38" spans="1:13" ht="15" customHeight="1" x14ac:dyDescent="0.25">
      <c r="A38" s="10"/>
      <c r="B38" s="15">
        <v>3</v>
      </c>
      <c r="C38" s="175" t="s">
        <v>82</v>
      </c>
      <c r="D38" s="172"/>
      <c r="E38" s="172"/>
      <c r="F38" s="172"/>
      <c r="G38" s="172"/>
      <c r="H38" s="172"/>
      <c r="I38" s="172"/>
      <c r="J38" s="172"/>
      <c r="K38" s="172"/>
      <c r="L38" s="172"/>
      <c r="M38" s="1">
        <f>Oth.Deductions!F13</f>
        <v>0</v>
      </c>
    </row>
    <row r="39" spans="1:13" ht="15" customHeight="1" x14ac:dyDescent="0.25">
      <c r="A39" s="10"/>
      <c r="B39" s="15">
        <v>4</v>
      </c>
      <c r="C39" s="175" t="s">
        <v>83</v>
      </c>
      <c r="D39" s="172"/>
      <c r="E39" s="172"/>
      <c r="F39" s="172"/>
      <c r="G39" s="172"/>
      <c r="H39" s="172"/>
      <c r="I39" s="172"/>
      <c r="J39" s="172"/>
      <c r="K39" s="172"/>
      <c r="L39" s="172"/>
      <c r="M39" s="1">
        <f>Oth.Deductions!F14</f>
        <v>0</v>
      </c>
    </row>
    <row r="40" spans="1:13" ht="15" customHeight="1" x14ac:dyDescent="0.25">
      <c r="A40" s="10"/>
      <c r="B40" s="15">
        <v>5</v>
      </c>
      <c r="C40" s="175" t="s">
        <v>84</v>
      </c>
      <c r="D40" s="172"/>
      <c r="E40" s="172"/>
      <c r="F40" s="172"/>
      <c r="G40" s="172"/>
      <c r="H40" s="172"/>
      <c r="I40" s="172"/>
      <c r="J40" s="172"/>
      <c r="K40" s="172"/>
      <c r="L40" s="172"/>
      <c r="M40" s="1">
        <f>Oth.Deductions!F15</f>
        <v>0</v>
      </c>
    </row>
    <row r="41" spans="1:13" ht="15" customHeight="1" x14ac:dyDescent="0.25">
      <c r="A41" s="10"/>
      <c r="B41" s="15">
        <v>6</v>
      </c>
      <c r="C41" s="175" t="s">
        <v>121</v>
      </c>
      <c r="D41" s="172"/>
      <c r="E41" s="172"/>
      <c r="F41" s="172"/>
      <c r="G41" s="172"/>
      <c r="H41" s="172"/>
      <c r="I41" s="172"/>
      <c r="J41" s="172"/>
      <c r="K41" s="172"/>
      <c r="L41" s="172"/>
      <c r="M41" s="1">
        <f>Oth.Deductions!F16</f>
        <v>0</v>
      </c>
    </row>
    <row r="42" spans="1:13" ht="15" customHeight="1" x14ac:dyDescent="0.25">
      <c r="A42" s="10"/>
      <c r="B42" s="15">
        <v>7</v>
      </c>
      <c r="C42" s="175" t="s">
        <v>85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">
        <f>Oth.Deductions!F17</f>
        <v>0</v>
      </c>
    </row>
    <row r="43" spans="1:13" ht="15" customHeight="1" x14ac:dyDescent="0.25">
      <c r="A43" s="10"/>
      <c r="B43" s="15">
        <v>8</v>
      </c>
      <c r="C43" s="175" t="s">
        <v>86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">
        <f>Oth.Deductions!F18</f>
        <v>0</v>
      </c>
    </row>
    <row r="44" spans="1:13" ht="15" customHeight="1" x14ac:dyDescent="0.25">
      <c r="A44" s="10"/>
      <c r="B44" s="15">
        <v>9</v>
      </c>
      <c r="C44" s="175" t="s">
        <v>87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">
        <f>Oth.Deductions!F19</f>
        <v>0</v>
      </c>
    </row>
    <row r="45" spans="1:13" ht="15" customHeight="1" x14ac:dyDescent="0.25">
      <c r="A45" s="10"/>
      <c r="B45" s="188" t="s">
        <v>88</v>
      </c>
      <c r="C45" s="189"/>
      <c r="D45" s="189"/>
      <c r="E45" s="189"/>
      <c r="F45" s="189"/>
      <c r="G45" s="189"/>
      <c r="H45" s="189"/>
      <c r="I45" s="189"/>
      <c r="J45" s="189"/>
      <c r="K45" s="189"/>
      <c r="L45" s="190"/>
      <c r="M45" s="18">
        <f>SUM(M36:M44)</f>
        <v>0</v>
      </c>
    </row>
    <row r="46" spans="1:13" ht="15" customHeight="1" x14ac:dyDescent="0.25">
      <c r="A46" s="10">
        <v>13</v>
      </c>
      <c r="B46" s="172" t="s">
        <v>89</v>
      </c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8">
        <f>SUM(M34,M45)</f>
        <v>143651</v>
      </c>
    </row>
    <row r="47" spans="1:13" ht="15" customHeight="1" x14ac:dyDescent="0.25">
      <c r="A47" s="10">
        <v>14</v>
      </c>
      <c r="B47" s="203" t="s">
        <v>90</v>
      </c>
      <c r="C47" s="203"/>
      <c r="D47" s="203"/>
      <c r="E47" s="203"/>
      <c r="F47" s="203"/>
      <c r="G47" s="203"/>
      <c r="H47" s="203"/>
      <c r="I47" s="203"/>
      <c r="J47" s="203"/>
      <c r="K47" s="203"/>
      <c r="L47" s="203"/>
      <c r="M47" s="18">
        <f>$M$18-$M$46</f>
        <v>1068219</v>
      </c>
    </row>
    <row r="48" spans="1:13" ht="15" customHeight="1" x14ac:dyDescent="0.25">
      <c r="A48" s="10">
        <v>15</v>
      </c>
      <c r="B48" s="172" t="s">
        <v>91</v>
      </c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8">
        <f>ROUND($M$47,-1)</f>
        <v>1068220</v>
      </c>
    </row>
    <row r="49" spans="1:13" ht="15" customHeight="1" x14ac:dyDescent="0.25">
      <c r="A49" s="10">
        <v>16</v>
      </c>
      <c r="B49" s="172" t="s">
        <v>92</v>
      </c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5"/>
    </row>
    <row r="50" spans="1:13" ht="15" customHeight="1" x14ac:dyDescent="0.25">
      <c r="A50" s="10"/>
      <c r="B50" s="162" t="s">
        <v>93</v>
      </c>
      <c r="C50" s="162"/>
      <c r="D50" s="162"/>
      <c r="E50" s="162"/>
      <c r="F50" s="162" t="s">
        <v>94</v>
      </c>
      <c r="G50" s="162"/>
      <c r="H50" s="162"/>
      <c r="I50" s="162"/>
      <c r="J50" s="162" t="s">
        <v>95</v>
      </c>
      <c r="K50" s="162"/>
      <c r="L50" s="162"/>
      <c r="M50" s="5"/>
    </row>
    <row r="51" spans="1:13" ht="15" customHeight="1" x14ac:dyDescent="0.25">
      <c r="A51" s="10"/>
      <c r="B51" s="173" t="s">
        <v>96</v>
      </c>
      <c r="C51" s="174"/>
      <c r="D51" s="175"/>
      <c r="E51" s="15" t="s">
        <v>97</v>
      </c>
      <c r="F51" s="173" t="s">
        <v>98</v>
      </c>
      <c r="G51" s="174"/>
      <c r="H51" s="175"/>
      <c r="I51" s="15" t="s">
        <v>97</v>
      </c>
      <c r="J51" s="173" t="s">
        <v>98</v>
      </c>
      <c r="K51" s="175"/>
      <c r="L51" s="15" t="s">
        <v>97</v>
      </c>
      <c r="M51" s="5">
        <v>0</v>
      </c>
    </row>
    <row r="52" spans="1:13" ht="15" customHeight="1" x14ac:dyDescent="0.25">
      <c r="A52" s="10"/>
      <c r="B52" s="173" t="s">
        <v>114</v>
      </c>
      <c r="C52" s="174"/>
      <c r="D52" s="175"/>
      <c r="E52" s="16">
        <v>0.05</v>
      </c>
      <c r="F52" s="173" t="s">
        <v>99</v>
      </c>
      <c r="G52" s="174"/>
      <c r="H52" s="175"/>
      <c r="I52" s="16">
        <v>0.05</v>
      </c>
      <c r="J52" s="173" t="s">
        <v>99</v>
      </c>
      <c r="K52" s="175"/>
      <c r="L52" s="15" t="s">
        <v>97</v>
      </c>
      <c r="M52" s="18">
        <f>ROUND(IF(M48&lt;250001,0,IF(M48&gt;500000,12500,((M48-250000)*0.05))),0)</f>
        <v>12500</v>
      </c>
    </row>
    <row r="53" spans="1:13" ht="15" customHeight="1" x14ac:dyDescent="0.25">
      <c r="A53" s="10"/>
      <c r="B53" s="173" t="s">
        <v>100</v>
      </c>
      <c r="C53" s="174"/>
      <c r="D53" s="175"/>
      <c r="E53" s="16">
        <v>0.2</v>
      </c>
      <c r="F53" s="173" t="s">
        <v>100</v>
      </c>
      <c r="G53" s="174"/>
      <c r="H53" s="175"/>
      <c r="I53" s="16">
        <v>0.2</v>
      </c>
      <c r="J53" s="173" t="s">
        <v>100</v>
      </c>
      <c r="K53" s="175"/>
      <c r="L53" s="16">
        <v>0.2</v>
      </c>
      <c r="M53" s="18">
        <f>ROUND(IF(M48&lt;500001,0,IF(M48&gt;1000000,100000,((M48-500000)*0.2))),0)</f>
        <v>100000</v>
      </c>
    </row>
    <row r="54" spans="1:13" ht="15" customHeight="1" x14ac:dyDescent="0.25">
      <c r="A54" s="10"/>
      <c r="B54" s="173" t="s">
        <v>134</v>
      </c>
      <c r="C54" s="174"/>
      <c r="D54" s="175"/>
      <c r="E54" s="16">
        <v>0.3</v>
      </c>
      <c r="F54" s="173" t="s">
        <v>134</v>
      </c>
      <c r="G54" s="174"/>
      <c r="H54" s="175"/>
      <c r="I54" s="16">
        <v>0.3</v>
      </c>
      <c r="J54" s="173" t="s">
        <v>134</v>
      </c>
      <c r="K54" s="175"/>
      <c r="L54" s="16">
        <v>0.3</v>
      </c>
      <c r="M54" s="18">
        <f>ROUND(IF(M48&lt;1000001,0,((M48-1000000)*0.3)),0)</f>
        <v>20466</v>
      </c>
    </row>
    <row r="55" spans="1:13" ht="15" customHeight="1" x14ac:dyDescent="0.25">
      <c r="A55" s="10"/>
      <c r="B55" s="15">
        <v>1</v>
      </c>
      <c r="C55" s="173" t="s">
        <v>101</v>
      </c>
      <c r="D55" s="174"/>
      <c r="E55" s="174"/>
      <c r="F55" s="174"/>
      <c r="G55" s="174"/>
      <c r="H55" s="174"/>
      <c r="I55" s="174"/>
      <c r="J55" s="174"/>
      <c r="K55" s="174"/>
      <c r="L55" s="175"/>
      <c r="M55" s="18">
        <f>SUM(M51:M54)</f>
        <v>132966</v>
      </c>
    </row>
    <row r="56" spans="1:13" ht="15" customHeight="1" x14ac:dyDescent="0.25">
      <c r="A56" s="10"/>
      <c r="B56" s="15">
        <v>2</v>
      </c>
      <c r="C56" s="173" t="s">
        <v>102</v>
      </c>
      <c r="D56" s="174"/>
      <c r="E56" s="174"/>
      <c r="F56" s="174"/>
      <c r="G56" s="174"/>
      <c r="H56" s="174"/>
      <c r="I56" s="174"/>
      <c r="J56" s="174"/>
      <c r="K56" s="174"/>
      <c r="L56" s="175"/>
      <c r="M56" s="18">
        <f>IF(M48&gt;500000,0,IF(M55&lt;12501,M55,12500))</f>
        <v>0</v>
      </c>
    </row>
    <row r="57" spans="1:13" ht="15" customHeight="1" x14ac:dyDescent="0.25">
      <c r="A57" s="10"/>
      <c r="B57" s="15">
        <v>3</v>
      </c>
      <c r="C57" s="173" t="s">
        <v>103</v>
      </c>
      <c r="D57" s="174"/>
      <c r="E57" s="174"/>
      <c r="F57" s="174"/>
      <c r="G57" s="174"/>
      <c r="H57" s="174"/>
      <c r="I57" s="174"/>
      <c r="J57" s="174"/>
      <c r="K57" s="174"/>
      <c r="L57" s="175"/>
      <c r="M57" s="18">
        <f>M55-M56</f>
        <v>132966</v>
      </c>
    </row>
    <row r="58" spans="1:13" ht="15" customHeight="1" x14ac:dyDescent="0.25">
      <c r="A58" s="10"/>
      <c r="B58" s="15">
        <v>4</v>
      </c>
      <c r="C58" s="173" t="s">
        <v>104</v>
      </c>
      <c r="D58" s="174"/>
      <c r="E58" s="174"/>
      <c r="F58" s="174"/>
      <c r="G58" s="174"/>
      <c r="H58" s="174"/>
      <c r="I58" s="174"/>
      <c r="J58" s="174"/>
      <c r="K58" s="174"/>
      <c r="L58" s="175"/>
      <c r="M58" s="18">
        <f>ROUND(M57*0.04,0)</f>
        <v>5319</v>
      </c>
    </row>
    <row r="59" spans="1:13" ht="15" customHeight="1" x14ac:dyDescent="0.25">
      <c r="A59" s="10"/>
      <c r="B59" s="176" t="s">
        <v>105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78"/>
      <c r="M59" s="18">
        <f>SUM(M57:M58)</f>
        <v>138285</v>
      </c>
    </row>
    <row r="60" spans="1:13" ht="15" customHeight="1" x14ac:dyDescent="0.25">
      <c r="A60" s="10">
        <v>17</v>
      </c>
      <c r="B60" s="172" t="s">
        <v>106</v>
      </c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5">
        <v>0</v>
      </c>
    </row>
    <row r="61" spans="1:13" ht="15" customHeight="1" x14ac:dyDescent="0.25">
      <c r="A61" s="10">
        <v>18</v>
      </c>
      <c r="B61" s="172" t="s">
        <v>107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8">
        <f>M59-M60</f>
        <v>138285</v>
      </c>
    </row>
    <row r="62" spans="1:13" ht="37.5" customHeight="1" x14ac:dyDescent="0.25">
      <c r="A62" s="211">
        <v>19</v>
      </c>
      <c r="B62" s="213" t="s">
        <v>108</v>
      </c>
      <c r="C62" s="213"/>
      <c r="D62" s="214" t="s">
        <v>216</v>
      </c>
      <c r="E62" s="215"/>
      <c r="F62" s="214" t="s">
        <v>217</v>
      </c>
      <c r="G62" s="215"/>
      <c r="H62" s="214" t="s">
        <v>218</v>
      </c>
      <c r="I62" s="215"/>
      <c r="J62" s="214" t="s">
        <v>219</v>
      </c>
      <c r="K62" s="215"/>
      <c r="L62" s="17" t="s">
        <v>125</v>
      </c>
      <c r="M62" s="13" t="s">
        <v>109</v>
      </c>
    </row>
    <row r="63" spans="1:13" ht="15" customHeight="1" x14ac:dyDescent="0.25">
      <c r="A63" s="212"/>
      <c r="B63" s="213"/>
      <c r="C63" s="213"/>
      <c r="D63" s="204">
        <f>SUM('GA 55A'!V8:V14)</f>
        <v>7000</v>
      </c>
      <c r="E63" s="205"/>
      <c r="F63" s="204">
        <f>SUM('GA 55A'!V15:V17)</f>
        <v>3000</v>
      </c>
      <c r="G63" s="205"/>
      <c r="H63" s="204">
        <f>SUM('GA 55A'!V18)</f>
        <v>1000</v>
      </c>
      <c r="I63" s="205"/>
      <c r="J63" s="204">
        <f>SUM('GA 55A'!V19)</f>
        <v>1000</v>
      </c>
      <c r="K63" s="205"/>
      <c r="L63" s="113">
        <f>SUM('GA 55A'!$V$20:$V$27,Oth.Deductions!F21)</f>
        <v>0</v>
      </c>
      <c r="M63" s="18">
        <f>SUM($D$63:$L$63)</f>
        <v>12000</v>
      </c>
    </row>
    <row r="64" spans="1:13" ht="15" customHeight="1" x14ac:dyDescent="0.25">
      <c r="A64" s="206" t="str">
        <f>IF(M61&gt;M63,"Income Tax Payable",IF(M61&lt;M63,"Income Tax Refundable","Income Tax No Need"))</f>
        <v>Income Tax Payable</v>
      </c>
      <c r="B64" s="207"/>
      <c r="C64" s="207"/>
      <c r="D64" s="207"/>
      <c r="E64" s="207"/>
      <c r="F64" s="207"/>
      <c r="G64" s="207"/>
      <c r="H64" s="207"/>
      <c r="I64" s="207"/>
      <c r="J64" s="207"/>
      <c r="K64" s="207"/>
      <c r="L64" s="207"/>
      <c r="M64" s="18">
        <f>M61-M63</f>
        <v>126285</v>
      </c>
    </row>
    <row r="65" spans="1:14" ht="10.5" customHeight="1" x14ac:dyDescent="0.25">
      <c r="A65" s="7"/>
      <c r="M65" s="8"/>
    </row>
    <row r="66" spans="1:14" ht="15" customHeight="1" thickBot="1" x14ac:dyDescent="0.3">
      <c r="A66" s="208" t="s">
        <v>27</v>
      </c>
      <c r="B66" s="209"/>
      <c r="C66" s="209"/>
      <c r="D66" s="209"/>
      <c r="E66" s="216" t="s">
        <v>119</v>
      </c>
      <c r="F66" s="216"/>
      <c r="G66" s="216"/>
      <c r="H66" s="216"/>
      <c r="I66" s="216"/>
      <c r="J66" s="216"/>
      <c r="K66" s="216"/>
      <c r="L66" s="209" t="s">
        <v>28</v>
      </c>
      <c r="M66" s="210"/>
      <c r="N66" s="4"/>
    </row>
  </sheetData>
  <sheetProtection algorithmName="SHA-512" hashValue="o7BpiBE7B+8TqOKDWbiS1u9qDim4M54YHJIql2g58t1nQ9akf+KXXcrUMyrTFr+mPBT2CMM3t1hv+f9qK6A3ZA==" saltValue="hLAry3xsuBGhWtGdxWL9LA==" spinCount="100000" sheet="1" formatCells="0" formatColumns="0" formatRows="0" selectLockedCells="1"/>
  <mergeCells count="122">
    <mergeCell ref="D63:E63"/>
    <mergeCell ref="F63:G63"/>
    <mergeCell ref="H63:I63"/>
    <mergeCell ref="J63:K63"/>
    <mergeCell ref="A64:L64"/>
    <mergeCell ref="A66:D66"/>
    <mergeCell ref="L66:M66"/>
    <mergeCell ref="C58:L58"/>
    <mergeCell ref="B59:L59"/>
    <mergeCell ref="B60:L60"/>
    <mergeCell ref="B61:L61"/>
    <mergeCell ref="A62:A63"/>
    <mergeCell ref="B62:C63"/>
    <mergeCell ref="D62:E62"/>
    <mergeCell ref="F62:G62"/>
    <mergeCell ref="H62:I62"/>
    <mergeCell ref="J62:K62"/>
    <mergeCell ref="E66:K66"/>
    <mergeCell ref="B54:D54"/>
    <mergeCell ref="F54:H54"/>
    <mergeCell ref="J54:K54"/>
    <mergeCell ref="C55:L55"/>
    <mergeCell ref="C56:L56"/>
    <mergeCell ref="C57:L57"/>
    <mergeCell ref="B52:D52"/>
    <mergeCell ref="F52:H52"/>
    <mergeCell ref="J52:K52"/>
    <mergeCell ref="B53:D53"/>
    <mergeCell ref="F53:H53"/>
    <mergeCell ref="J53:K53"/>
    <mergeCell ref="B49:L49"/>
    <mergeCell ref="B50:E50"/>
    <mergeCell ref="F50:I50"/>
    <mergeCell ref="J50:L50"/>
    <mergeCell ref="B51:D51"/>
    <mergeCell ref="F51:H51"/>
    <mergeCell ref="J51:K51"/>
    <mergeCell ref="C43:L43"/>
    <mergeCell ref="C44:L44"/>
    <mergeCell ref="B45:L45"/>
    <mergeCell ref="B46:L46"/>
    <mergeCell ref="B47:L47"/>
    <mergeCell ref="B48:L48"/>
    <mergeCell ref="C37:L37"/>
    <mergeCell ref="C38:L38"/>
    <mergeCell ref="C39:L39"/>
    <mergeCell ref="C40:L40"/>
    <mergeCell ref="C41:L41"/>
    <mergeCell ref="C42:L42"/>
    <mergeCell ref="B31:L31"/>
    <mergeCell ref="C32:L32"/>
    <mergeCell ref="C33:L33"/>
    <mergeCell ref="B34:L34"/>
    <mergeCell ref="B35:L35"/>
    <mergeCell ref="C36:L36"/>
    <mergeCell ref="I29:K30"/>
    <mergeCell ref="L29:L30"/>
    <mergeCell ref="C30:E30"/>
    <mergeCell ref="F30:G30"/>
    <mergeCell ref="C27:E27"/>
    <mergeCell ref="F27:G27"/>
    <mergeCell ref="I27:K27"/>
    <mergeCell ref="C28:E28"/>
    <mergeCell ref="F28:G28"/>
    <mergeCell ref="I28:K28"/>
    <mergeCell ref="B19:M19"/>
    <mergeCell ref="B20:M20"/>
    <mergeCell ref="C21:E21"/>
    <mergeCell ref="F21:G21"/>
    <mergeCell ref="I21:K21"/>
    <mergeCell ref="M21:M30"/>
    <mergeCell ref="C22:E22"/>
    <mergeCell ref="C25:E25"/>
    <mergeCell ref="F25:G25"/>
    <mergeCell ref="I25:K25"/>
    <mergeCell ref="C26:E26"/>
    <mergeCell ref="F26:G26"/>
    <mergeCell ref="I26:K26"/>
    <mergeCell ref="F22:G22"/>
    <mergeCell ref="I22:K22"/>
    <mergeCell ref="C23:E23"/>
    <mergeCell ref="F23:G23"/>
    <mergeCell ref="I23:K23"/>
    <mergeCell ref="C24:E24"/>
    <mergeCell ref="F24:G24"/>
    <mergeCell ref="I24:K24"/>
    <mergeCell ref="C29:E29"/>
    <mergeCell ref="F29:G29"/>
    <mergeCell ref="H29:H30"/>
    <mergeCell ref="B15:L15"/>
    <mergeCell ref="B11:L11"/>
    <mergeCell ref="A12:A15"/>
    <mergeCell ref="B12:G12"/>
    <mergeCell ref="H12:J12"/>
    <mergeCell ref="K12:L12"/>
    <mergeCell ref="B16:L16"/>
    <mergeCell ref="B17:L17"/>
    <mergeCell ref="B18:L18"/>
    <mergeCell ref="A1:M1"/>
    <mergeCell ref="A2:M2"/>
    <mergeCell ref="B3:C3"/>
    <mergeCell ref="D3:H3"/>
    <mergeCell ref="J3:K3"/>
    <mergeCell ref="B4:L4"/>
    <mergeCell ref="M12:M14"/>
    <mergeCell ref="B13:C14"/>
    <mergeCell ref="D13:E13"/>
    <mergeCell ref="F13:G13"/>
    <mergeCell ref="H13:I13"/>
    <mergeCell ref="B5:L5"/>
    <mergeCell ref="B6:L6"/>
    <mergeCell ref="A7:A10"/>
    <mergeCell ref="B7:K7"/>
    <mergeCell ref="M7:M9"/>
    <mergeCell ref="B8:K8"/>
    <mergeCell ref="B9:K9"/>
    <mergeCell ref="B10:L10"/>
    <mergeCell ref="J13:L13"/>
    <mergeCell ref="D14:E14"/>
    <mergeCell ref="F14:G14"/>
    <mergeCell ref="H14:I14"/>
    <mergeCell ref="J14:L14"/>
  </mergeCells>
  <dataValidations disablePrompts="1" count="1">
    <dataValidation type="whole" allowBlank="1" showInputMessage="1" showErrorMessage="1" errorTitle="Wrong Entry" error="Not Greater than 200000 Rupees" sqref="F14:G14" xr:uid="{B4D532E5-5A26-4C86-9266-424CE1FE2EC6}">
      <formula1>0</formula1>
      <formula2>200000</formula2>
    </dataValidation>
  </dataValidations>
  <printOptions horizontalCentered="1"/>
  <pageMargins left="0.39370078740157499" right="0.39370078740157499" top="0.39370078740157499" bottom="0.39370078740157499" header="0" footer="0"/>
  <pageSetup paperSize="9" scale="79" orientation="portrait" r:id="rId1"/>
  <headerFooter>
    <oddFooter>&amp;Cwww.ashwinisharma.com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8">
    <tabColor rgb="FFFF0000"/>
  </sheetPr>
  <dimension ref="A1:Y57"/>
  <sheetViews>
    <sheetView view="pageBreakPreview" zoomScaleNormal="115" zoomScaleSheetLayoutView="100" workbookViewId="0">
      <selection activeCell="N48" sqref="N48"/>
    </sheetView>
  </sheetViews>
  <sheetFormatPr defaultRowHeight="15" customHeight="1" x14ac:dyDescent="0.25"/>
  <cols>
    <col min="1" max="1" width="5.28515625" style="3" customWidth="1"/>
    <col min="2" max="2" width="4.5703125" style="3" customWidth="1"/>
    <col min="3" max="3" width="8.42578125" style="3" customWidth="1"/>
    <col min="4" max="4" width="7" style="3" customWidth="1"/>
    <col min="5" max="5" width="9.7109375" style="3" customWidth="1"/>
    <col min="6" max="6" width="6.140625" style="3" customWidth="1"/>
    <col min="7" max="7" width="9.5703125" style="3" customWidth="1"/>
    <col min="8" max="8" width="5.42578125" style="3" customWidth="1"/>
    <col min="9" max="9" width="8.5703125" style="3" customWidth="1"/>
    <col min="10" max="10" width="8" style="3" customWidth="1"/>
    <col min="11" max="11" width="14.7109375" style="3" customWidth="1"/>
    <col min="12" max="12" width="12.5703125" style="3" customWidth="1"/>
    <col min="13" max="13" width="13.140625" style="3" customWidth="1"/>
    <col min="14" max="16" width="9.140625" style="3"/>
    <col min="17" max="19" width="9.140625" style="3" hidden="1" customWidth="1"/>
    <col min="20" max="20" width="11.7109375" style="3" hidden="1" customWidth="1"/>
    <col min="21" max="21" width="9.140625" style="3" hidden="1" customWidth="1"/>
    <col min="22" max="22" width="7.85546875" style="3" hidden="1" customWidth="1"/>
    <col min="23" max="23" width="14.140625" style="3" hidden="1" customWidth="1"/>
    <col min="24" max="24" width="10.28515625" style="3" hidden="1" customWidth="1"/>
    <col min="25" max="25" width="9.140625" style="3" hidden="1" customWidth="1"/>
    <col min="26" max="16384" width="9.140625" style="3"/>
  </cols>
  <sheetData>
    <row r="1" spans="1:13" ht="21" customHeight="1" x14ac:dyDescent="0.25">
      <c r="A1" s="219" t="str">
        <f>'Tax Calculaton Old'!A1</f>
        <v>Office of the Principal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1"/>
    </row>
    <row r="2" spans="1:13" ht="20.25" customHeight="1" x14ac:dyDescent="0.25">
      <c r="A2" s="222" t="s">
        <v>226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4"/>
    </row>
    <row r="3" spans="1:13" ht="15" customHeight="1" x14ac:dyDescent="0.25">
      <c r="A3" s="10">
        <v>1</v>
      </c>
      <c r="B3" s="147" t="s">
        <v>35</v>
      </c>
      <c r="C3" s="148"/>
      <c r="D3" s="225" t="str">
        <f>'Tax Calculaton Old'!D3</f>
        <v>MOHIT SINGH</v>
      </c>
      <c r="E3" s="226"/>
      <c r="F3" s="226"/>
      <c r="G3" s="226"/>
      <c r="H3" s="227"/>
      <c r="I3" s="9" t="s">
        <v>36</v>
      </c>
      <c r="J3" s="228" t="str">
        <f>'Tax Calculaton Old'!J3</f>
        <v>Lecturer</v>
      </c>
      <c r="K3" s="229"/>
      <c r="L3" s="9" t="s">
        <v>37</v>
      </c>
      <c r="M3" s="11" t="str">
        <f>'Tax Calculaton Old'!M3</f>
        <v>EKSPS8037K</v>
      </c>
    </row>
    <row r="4" spans="1:13" ht="15" customHeight="1" x14ac:dyDescent="0.25">
      <c r="A4" s="10">
        <v>2</v>
      </c>
      <c r="B4" s="147" t="s">
        <v>215</v>
      </c>
      <c r="C4" s="154"/>
      <c r="D4" s="154"/>
      <c r="E4" s="154"/>
      <c r="F4" s="154"/>
      <c r="G4" s="154"/>
      <c r="H4" s="154"/>
      <c r="I4" s="154"/>
      <c r="J4" s="154"/>
      <c r="K4" s="154"/>
      <c r="L4" s="148"/>
      <c r="M4" s="12">
        <f>'Tax Calculaton Old'!M4</f>
        <v>1261870</v>
      </c>
    </row>
    <row r="5" spans="1:13" ht="15" customHeight="1" x14ac:dyDescent="0.25">
      <c r="A5" s="10">
        <v>3</v>
      </c>
      <c r="B5" s="165" t="s">
        <v>38</v>
      </c>
      <c r="C5" s="166"/>
      <c r="D5" s="166"/>
      <c r="E5" s="166"/>
      <c r="F5" s="166"/>
      <c r="G5" s="166"/>
      <c r="H5" s="166"/>
      <c r="I5" s="166"/>
      <c r="J5" s="166"/>
      <c r="K5" s="166"/>
      <c r="L5" s="167"/>
      <c r="M5" s="12">
        <v>0</v>
      </c>
    </row>
    <row r="6" spans="1:13" ht="15" customHeight="1" x14ac:dyDescent="0.25">
      <c r="A6" s="10">
        <v>4</v>
      </c>
      <c r="B6" s="168" t="s">
        <v>39</v>
      </c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2">
        <f>M4-M5</f>
        <v>1261870</v>
      </c>
    </row>
    <row r="7" spans="1:13" ht="15" customHeight="1" x14ac:dyDescent="0.25">
      <c r="A7" s="169">
        <v>5</v>
      </c>
      <c r="B7" s="172" t="s">
        <v>220</v>
      </c>
      <c r="C7" s="172"/>
      <c r="D7" s="172"/>
      <c r="E7" s="172"/>
      <c r="F7" s="172"/>
      <c r="G7" s="172"/>
      <c r="H7" s="172"/>
      <c r="I7" s="172"/>
      <c r="J7" s="172"/>
      <c r="K7" s="172"/>
      <c r="L7" s="2">
        <f>IF($M$6&gt;75000,75000,$M$6)</f>
        <v>75000</v>
      </c>
      <c r="M7" s="231"/>
    </row>
    <row r="8" spans="1:13" ht="15" customHeight="1" x14ac:dyDescent="0.25">
      <c r="A8" s="170"/>
      <c r="B8" s="172" t="s">
        <v>41</v>
      </c>
      <c r="C8" s="172"/>
      <c r="D8" s="172"/>
      <c r="E8" s="172"/>
      <c r="F8" s="172"/>
      <c r="G8" s="172"/>
      <c r="H8" s="172"/>
      <c r="I8" s="172"/>
      <c r="J8" s="172"/>
      <c r="K8" s="172"/>
      <c r="L8" s="2">
        <v>0</v>
      </c>
      <c r="M8" s="231"/>
    </row>
    <row r="9" spans="1:13" ht="15" customHeight="1" x14ac:dyDescent="0.25">
      <c r="A9" s="170"/>
      <c r="B9" s="172" t="s">
        <v>42</v>
      </c>
      <c r="C9" s="172"/>
      <c r="D9" s="172"/>
      <c r="E9" s="172"/>
      <c r="F9" s="172"/>
      <c r="G9" s="172"/>
      <c r="H9" s="172"/>
      <c r="I9" s="172"/>
      <c r="J9" s="172"/>
      <c r="K9" s="172"/>
      <c r="L9" s="2">
        <v>0</v>
      </c>
      <c r="M9" s="231"/>
    </row>
    <row r="10" spans="1:13" ht="15" customHeight="1" x14ac:dyDescent="0.25">
      <c r="A10" s="171"/>
      <c r="B10" s="168" t="s">
        <v>43</v>
      </c>
      <c r="C10" s="168"/>
      <c r="D10" s="168"/>
      <c r="E10" s="168"/>
      <c r="F10" s="168"/>
      <c r="G10" s="168"/>
      <c r="H10" s="168"/>
      <c r="I10" s="168"/>
      <c r="J10" s="168"/>
      <c r="K10" s="168"/>
      <c r="L10" s="168"/>
      <c r="M10" s="12">
        <f>SUM(L7:L9)</f>
        <v>75000</v>
      </c>
    </row>
    <row r="11" spans="1:13" ht="15" customHeight="1" x14ac:dyDescent="0.25">
      <c r="A11" s="10">
        <v>6</v>
      </c>
      <c r="B11" s="176" t="s">
        <v>44</v>
      </c>
      <c r="C11" s="177"/>
      <c r="D11" s="177"/>
      <c r="E11" s="177"/>
      <c r="F11" s="177"/>
      <c r="G11" s="177"/>
      <c r="H11" s="177"/>
      <c r="I11" s="177"/>
      <c r="J11" s="177"/>
      <c r="K11" s="177"/>
      <c r="L11" s="178"/>
      <c r="M11" s="12">
        <f>M6-M10</f>
        <v>1186870</v>
      </c>
    </row>
    <row r="12" spans="1:13" ht="15" customHeight="1" x14ac:dyDescent="0.25">
      <c r="A12" s="169">
        <v>7</v>
      </c>
      <c r="B12" s="185" t="s">
        <v>45</v>
      </c>
      <c r="C12" s="185"/>
      <c r="D12" s="185"/>
      <c r="E12" s="185"/>
      <c r="F12" s="185"/>
      <c r="G12" s="185"/>
      <c r="H12" s="163" t="s">
        <v>46</v>
      </c>
      <c r="I12" s="179"/>
      <c r="J12" s="164"/>
      <c r="K12" s="232">
        <f>'Tax Calculaton Old'!K12</f>
        <v>0</v>
      </c>
      <c r="L12" s="233"/>
      <c r="M12" s="230"/>
    </row>
    <row r="13" spans="1:13" ht="15" customHeight="1" x14ac:dyDescent="0.25">
      <c r="A13" s="170"/>
      <c r="B13" s="158" t="s">
        <v>47</v>
      </c>
      <c r="C13" s="159"/>
      <c r="D13" s="162" t="s">
        <v>48</v>
      </c>
      <c r="E13" s="162"/>
      <c r="F13" s="162" t="s">
        <v>49</v>
      </c>
      <c r="G13" s="162"/>
      <c r="H13" s="163" t="s">
        <v>50</v>
      </c>
      <c r="I13" s="164"/>
      <c r="J13" s="163" t="s">
        <v>51</v>
      </c>
      <c r="K13" s="179"/>
      <c r="L13" s="164"/>
      <c r="M13" s="230"/>
    </row>
    <row r="14" spans="1:13" ht="15" customHeight="1" x14ac:dyDescent="0.25">
      <c r="A14" s="170"/>
      <c r="B14" s="160"/>
      <c r="C14" s="161"/>
      <c r="D14" s="234">
        <v>0</v>
      </c>
      <c r="E14" s="235"/>
      <c r="F14" s="234">
        <v>0</v>
      </c>
      <c r="G14" s="235"/>
      <c r="H14" s="234">
        <v>0</v>
      </c>
      <c r="I14" s="235"/>
      <c r="J14" s="234">
        <f>SUM(D14:I14)</f>
        <v>0</v>
      </c>
      <c r="K14" s="236"/>
      <c r="L14" s="237"/>
      <c r="M14" s="230"/>
    </row>
    <row r="15" spans="1:13" ht="15" customHeight="1" x14ac:dyDescent="0.25">
      <c r="A15" s="171"/>
      <c r="B15" s="168" t="s">
        <v>52</v>
      </c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2">
        <f>$K$12+$J$14</f>
        <v>0</v>
      </c>
    </row>
    <row r="16" spans="1:13" ht="15" customHeight="1" x14ac:dyDescent="0.25">
      <c r="A16" s="10">
        <v>8</v>
      </c>
      <c r="B16" s="188" t="s">
        <v>53</v>
      </c>
      <c r="C16" s="189"/>
      <c r="D16" s="189"/>
      <c r="E16" s="189"/>
      <c r="F16" s="189"/>
      <c r="G16" s="189"/>
      <c r="H16" s="189"/>
      <c r="I16" s="189"/>
      <c r="J16" s="189"/>
      <c r="K16" s="189"/>
      <c r="L16" s="190"/>
      <c r="M16" s="12">
        <f>$M$11-$M$15</f>
        <v>1186870</v>
      </c>
    </row>
    <row r="17" spans="1:13" ht="15" customHeight="1" x14ac:dyDescent="0.25">
      <c r="A17" s="10">
        <v>9</v>
      </c>
      <c r="B17" s="176" t="s">
        <v>54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8"/>
      <c r="M17" s="12">
        <f>'Tax Calculaton Old'!M17</f>
        <v>0</v>
      </c>
    </row>
    <row r="18" spans="1:13" ht="15" customHeight="1" x14ac:dyDescent="0.25">
      <c r="A18" s="10">
        <v>10</v>
      </c>
      <c r="B18" s="191" t="s">
        <v>55</v>
      </c>
      <c r="C18" s="192"/>
      <c r="D18" s="192"/>
      <c r="E18" s="192"/>
      <c r="F18" s="192"/>
      <c r="G18" s="192"/>
      <c r="H18" s="192"/>
      <c r="I18" s="192"/>
      <c r="J18" s="192"/>
      <c r="K18" s="192"/>
      <c r="L18" s="193"/>
      <c r="M18" s="12">
        <f>SUM(M16:M17)</f>
        <v>1186870</v>
      </c>
    </row>
    <row r="19" spans="1:13" ht="18" customHeight="1" x14ac:dyDescent="0.25">
      <c r="A19" s="10">
        <v>11</v>
      </c>
      <c r="B19" s="173" t="s">
        <v>56</v>
      </c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94"/>
    </row>
    <row r="20" spans="1:13" ht="18" customHeight="1" x14ac:dyDescent="0.25">
      <c r="A20" s="10"/>
      <c r="B20" s="185" t="s">
        <v>110</v>
      </c>
      <c r="C20" s="185"/>
      <c r="D20" s="185"/>
      <c r="E20" s="185"/>
      <c r="F20" s="185"/>
      <c r="G20" s="185"/>
      <c r="H20" s="185"/>
      <c r="I20" s="185"/>
      <c r="J20" s="185"/>
      <c r="K20" s="185"/>
      <c r="L20" s="185"/>
      <c r="M20" s="12">
        <v>0</v>
      </c>
    </row>
    <row r="21" spans="1:13" ht="18" customHeight="1" x14ac:dyDescent="0.25">
      <c r="A21" s="10"/>
      <c r="B21" s="185" t="s">
        <v>111</v>
      </c>
      <c r="C21" s="185"/>
      <c r="D21" s="185"/>
      <c r="E21" s="185"/>
      <c r="F21" s="185"/>
      <c r="G21" s="185"/>
      <c r="H21" s="185"/>
      <c r="I21" s="185"/>
      <c r="J21" s="185"/>
      <c r="K21" s="185"/>
      <c r="L21" s="185"/>
      <c r="M21" s="12">
        <f>'Tax Calculaton Old'!M32</f>
        <v>0</v>
      </c>
    </row>
    <row r="22" spans="1:13" ht="18" customHeight="1" x14ac:dyDescent="0.25">
      <c r="A22" s="10"/>
      <c r="B22" s="185" t="s">
        <v>112</v>
      </c>
      <c r="C22" s="185"/>
      <c r="D22" s="185"/>
      <c r="E22" s="185"/>
      <c r="F22" s="185"/>
      <c r="G22" s="185"/>
      <c r="H22" s="185"/>
      <c r="I22" s="185"/>
      <c r="J22" s="185"/>
      <c r="K22" s="185"/>
      <c r="L22" s="185"/>
      <c r="M22" s="12">
        <f>'Tax Calculaton Old'!M33</f>
        <v>0</v>
      </c>
    </row>
    <row r="23" spans="1:13" ht="15" customHeight="1" x14ac:dyDescent="0.25">
      <c r="A23" s="10"/>
      <c r="B23" s="168" t="s">
        <v>79</v>
      </c>
      <c r="C23" s="168"/>
      <c r="D23" s="168"/>
      <c r="E23" s="168"/>
      <c r="F23" s="168"/>
      <c r="G23" s="168"/>
      <c r="H23" s="168"/>
      <c r="I23" s="168"/>
      <c r="J23" s="168"/>
      <c r="K23" s="168"/>
      <c r="L23" s="168"/>
      <c r="M23" s="12">
        <f>SUM(M20:M22)</f>
        <v>0</v>
      </c>
    </row>
    <row r="24" spans="1:13" ht="15" customHeight="1" x14ac:dyDescent="0.25">
      <c r="A24" s="10">
        <v>12</v>
      </c>
      <c r="B24" s="185" t="s">
        <v>80</v>
      </c>
      <c r="C24" s="185"/>
      <c r="D24" s="185"/>
      <c r="E24" s="185"/>
      <c r="F24" s="185"/>
      <c r="G24" s="185"/>
      <c r="H24" s="185"/>
      <c r="I24" s="185"/>
      <c r="J24" s="185"/>
      <c r="K24" s="185"/>
      <c r="L24" s="185"/>
      <c r="M24" s="1"/>
    </row>
    <row r="25" spans="1:13" ht="15" customHeight="1" x14ac:dyDescent="0.25">
      <c r="A25" s="10"/>
      <c r="B25" s="14">
        <v>1</v>
      </c>
      <c r="C25" s="175" t="s">
        <v>120</v>
      </c>
      <c r="D25" s="172"/>
      <c r="E25" s="172"/>
      <c r="F25" s="172"/>
      <c r="G25" s="172"/>
      <c r="H25" s="172"/>
      <c r="I25" s="172"/>
      <c r="J25" s="172"/>
      <c r="K25" s="172"/>
      <c r="L25" s="172"/>
      <c r="M25" s="12">
        <v>0</v>
      </c>
    </row>
    <row r="26" spans="1:13" ht="15" customHeight="1" x14ac:dyDescent="0.25">
      <c r="A26" s="10"/>
      <c r="B26" s="14">
        <v>2</v>
      </c>
      <c r="C26" s="175" t="s">
        <v>113</v>
      </c>
      <c r="D26" s="172"/>
      <c r="E26" s="172"/>
      <c r="F26" s="172"/>
      <c r="G26" s="172"/>
      <c r="H26" s="172"/>
      <c r="I26" s="172"/>
      <c r="J26" s="172"/>
      <c r="K26" s="172"/>
      <c r="L26" s="172"/>
      <c r="M26" s="12">
        <v>0</v>
      </c>
    </row>
    <row r="27" spans="1:13" ht="15" customHeight="1" x14ac:dyDescent="0.25">
      <c r="A27" s="10"/>
      <c r="B27" s="14">
        <v>3</v>
      </c>
      <c r="C27" s="175" t="s">
        <v>82</v>
      </c>
      <c r="D27" s="172"/>
      <c r="E27" s="172"/>
      <c r="F27" s="172"/>
      <c r="G27" s="172"/>
      <c r="H27" s="172"/>
      <c r="I27" s="172"/>
      <c r="J27" s="172"/>
      <c r="K27" s="172"/>
      <c r="L27" s="172"/>
      <c r="M27" s="12">
        <v>0</v>
      </c>
    </row>
    <row r="28" spans="1:13" ht="15" customHeight="1" x14ac:dyDescent="0.25">
      <c r="A28" s="10"/>
      <c r="B28" s="14">
        <v>4</v>
      </c>
      <c r="C28" s="175" t="s">
        <v>83</v>
      </c>
      <c r="D28" s="172"/>
      <c r="E28" s="172"/>
      <c r="F28" s="172"/>
      <c r="G28" s="172"/>
      <c r="H28" s="172"/>
      <c r="I28" s="172"/>
      <c r="J28" s="172"/>
      <c r="K28" s="172"/>
      <c r="L28" s="172"/>
      <c r="M28" s="12">
        <v>0</v>
      </c>
    </row>
    <row r="29" spans="1:13" ht="15" customHeight="1" x14ac:dyDescent="0.25">
      <c r="A29" s="10"/>
      <c r="B29" s="14">
        <v>5</v>
      </c>
      <c r="C29" s="175" t="s">
        <v>84</v>
      </c>
      <c r="D29" s="172"/>
      <c r="E29" s="172"/>
      <c r="F29" s="172"/>
      <c r="G29" s="172"/>
      <c r="H29" s="172"/>
      <c r="I29" s="172"/>
      <c r="J29" s="172"/>
      <c r="K29" s="172"/>
      <c r="L29" s="172"/>
      <c r="M29" s="12">
        <v>0</v>
      </c>
    </row>
    <row r="30" spans="1:13" ht="15" customHeight="1" x14ac:dyDescent="0.25">
      <c r="A30" s="10"/>
      <c r="B30" s="14">
        <v>6</v>
      </c>
      <c r="C30" s="175" t="s">
        <v>121</v>
      </c>
      <c r="D30" s="172"/>
      <c r="E30" s="172"/>
      <c r="F30" s="172"/>
      <c r="G30" s="172"/>
      <c r="H30" s="172"/>
      <c r="I30" s="172"/>
      <c r="J30" s="172"/>
      <c r="K30" s="172"/>
      <c r="L30" s="172"/>
      <c r="M30" s="12">
        <v>0</v>
      </c>
    </row>
    <row r="31" spans="1:13" ht="15" customHeight="1" x14ac:dyDescent="0.25">
      <c r="A31" s="10"/>
      <c r="B31" s="14">
        <v>7</v>
      </c>
      <c r="C31" s="175" t="s">
        <v>85</v>
      </c>
      <c r="D31" s="172"/>
      <c r="E31" s="172"/>
      <c r="F31" s="172"/>
      <c r="G31" s="172"/>
      <c r="H31" s="172"/>
      <c r="I31" s="172"/>
      <c r="J31" s="172"/>
      <c r="K31" s="172"/>
      <c r="L31" s="172"/>
      <c r="M31" s="12">
        <v>0</v>
      </c>
    </row>
    <row r="32" spans="1:13" ht="15" customHeight="1" x14ac:dyDescent="0.25">
      <c r="A32" s="10"/>
      <c r="B32" s="14">
        <v>8</v>
      </c>
      <c r="C32" s="175" t="s">
        <v>86</v>
      </c>
      <c r="D32" s="172"/>
      <c r="E32" s="172"/>
      <c r="F32" s="172"/>
      <c r="G32" s="172"/>
      <c r="H32" s="172"/>
      <c r="I32" s="172"/>
      <c r="J32" s="172"/>
      <c r="K32" s="172"/>
      <c r="L32" s="172"/>
      <c r="M32" s="12">
        <v>0</v>
      </c>
    </row>
    <row r="33" spans="1:24" ht="15" customHeight="1" x14ac:dyDescent="0.25">
      <c r="A33" s="10"/>
      <c r="B33" s="188" t="s">
        <v>88</v>
      </c>
      <c r="C33" s="189"/>
      <c r="D33" s="189"/>
      <c r="E33" s="189"/>
      <c r="F33" s="189"/>
      <c r="G33" s="189"/>
      <c r="H33" s="189"/>
      <c r="I33" s="189"/>
      <c r="J33" s="189"/>
      <c r="K33" s="189"/>
      <c r="L33" s="190"/>
      <c r="M33" s="12">
        <f>SUM(M25:M32)</f>
        <v>0</v>
      </c>
    </row>
    <row r="34" spans="1:24" ht="15" customHeight="1" x14ac:dyDescent="0.25">
      <c r="A34" s="10">
        <v>13</v>
      </c>
      <c r="B34" s="172" t="s">
        <v>89</v>
      </c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2">
        <f>SUM($M$23+$M$33)</f>
        <v>0</v>
      </c>
    </row>
    <row r="35" spans="1:24" ht="15" customHeight="1" x14ac:dyDescent="0.25">
      <c r="A35" s="10">
        <v>14</v>
      </c>
      <c r="B35" s="203" t="s">
        <v>90</v>
      </c>
      <c r="C35" s="203"/>
      <c r="D35" s="203"/>
      <c r="E35" s="203"/>
      <c r="F35" s="203"/>
      <c r="G35" s="203"/>
      <c r="H35" s="203"/>
      <c r="I35" s="203"/>
      <c r="J35" s="203"/>
      <c r="K35" s="203"/>
      <c r="L35" s="203"/>
      <c r="M35" s="12">
        <f>$M$18-$M$34</f>
        <v>1186870</v>
      </c>
    </row>
    <row r="36" spans="1:24" ht="15" customHeight="1" x14ac:dyDescent="0.25">
      <c r="A36" s="10">
        <v>15</v>
      </c>
      <c r="B36" s="172" t="s">
        <v>91</v>
      </c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2">
        <f>ROUND($M$35,-1)</f>
        <v>1186870</v>
      </c>
    </row>
    <row r="37" spans="1:24" ht="15" customHeight="1" x14ac:dyDescent="0.25">
      <c r="A37" s="10">
        <v>16</v>
      </c>
      <c r="B37" s="172" t="s">
        <v>92</v>
      </c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2"/>
    </row>
    <row r="38" spans="1:24" ht="15" customHeight="1" x14ac:dyDescent="0.25">
      <c r="A38" s="10"/>
      <c r="B38" s="162" t="s">
        <v>93</v>
      </c>
      <c r="C38" s="162"/>
      <c r="D38" s="162"/>
      <c r="E38" s="162"/>
      <c r="F38" s="162" t="s">
        <v>94</v>
      </c>
      <c r="G38" s="162"/>
      <c r="H38" s="162"/>
      <c r="I38" s="162"/>
      <c r="J38" s="162" t="s">
        <v>95</v>
      </c>
      <c r="K38" s="162"/>
      <c r="L38" s="162"/>
      <c r="M38" s="12"/>
    </row>
    <row r="39" spans="1:24" ht="18" customHeight="1" x14ac:dyDescent="0.25">
      <c r="A39" s="10"/>
      <c r="B39" s="173" t="s">
        <v>227</v>
      </c>
      <c r="C39" s="174"/>
      <c r="D39" s="175"/>
      <c r="E39" s="16">
        <v>0</v>
      </c>
      <c r="F39" s="173" t="s">
        <v>227</v>
      </c>
      <c r="G39" s="174"/>
      <c r="H39" s="175"/>
      <c r="I39" s="16">
        <v>0</v>
      </c>
      <c r="J39" s="173" t="s">
        <v>227</v>
      </c>
      <c r="K39" s="175"/>
      <c r="L39" s="16">
        <v>0</v>
      </c>
      <c r="M39" s="12">
        <v>0</v>
      </c>
    </row>
    <row r="40" spans="1:24" ht="18" customHeight="1" x14ac:dyDescent="0.25">
      <c r="A40" s="10"/>
      <c r="B40" s="173" t="s">
        <v>228</v>
      </c>
      <c r="C40" s="174"/>
      <c r="D40" s="175"/>
      <c r="E40" s="16">
        <v>0.05</v>
      </c>
      <c r="F40" s="173" t="s">
        <v>228</v>
      </c>
      <c r="G40" s="174"/>
      <c r="H40" s="175"/>
      <c r="I40" s="16">
        <v>0.05</v>
      </c>
      <c r="J40" s="173" t="s">
        <v>228</v>
      </c>
      <c r="K40" s="175"/>
      <c r="L40" s="16">
        <v>0.05</v>
      </c>
      <c r="M40" s="12">
        <f>ROUND(IF(M36&lt;400001,0,IF(M36&gt;800000,20000,((M36-400001)*0.05))),0)</f>
        <v>20000</v>
      </c>
    </row>
    <row r="41" spans="1:24" ht="18" customHeight="1" x14ac:dyDescent="0.25">
      <c r="A41" s="10"/>
      <c r="B41" s="173" t="s">
        <v>229</v>
      </c>
      <c r="C41" s="174"/>
      <c r="D41" s="175"/>
      <c r="E41" s="16">
        <v>0.1</v>
      </c>
      <c r="F41" s="173" t="s">
        <v>229</v>
      </c>
      <c r="G41" s="174"/>
      <c r="H41" s="175"/>
      <c r="I41" s="16">
        <v>0.1</v>
      </c>
      <c r="J41" s="173" t="s">
        <v>229</v>
      </c>
      <c r="K41" s="175"/>
      <c r="L41" s="16">
        <v>0.1</v>
      </c>
      <c r="M41" s="12">
        <f>ROUND(IF(M36&lt;800001,0,IF(M36&gt;1200000,40000,((M36-800000)*0.1))),0)</f>
        <v>38687</v>
      </c>
    </row>
    <row r="42" spans="1:24" ht="18" customHeight="1" x14ac:dyDescent="0.25">
      <c r="A42" s="10"/>
      <c r="B42" s="173" t="s">
        <v>230</v>
      </c>
      <c r="C42" s="174"/>
      <c r="D42" s="175"/>
      <c r="E42" s="16">
        <v>0.15</v>
      </c>
      <c r="F42" s="173" t="s">
        <v>230</v>
      </c>
      <c r="G42" s="174"/>
      <c r="H42" s="175"/>
      <c r="I42" s="16">
        <v>0.15</v>
      </c>
      <c r="J42" s="173" t="s">
        <v>230</v>
      </c>
      <c r="K42" s="175"/>
      <c r="L42" s="16">
        <v>0.15</v>
      </c>
      <c r="M42" s="12">
        <f>ROUND(IF(M36&lt;1200001,0,IF(M36&gt;1600000,60000,((M36-1200000)*0.15))),0)</f>
        <v>0</v>
      </c>
    </row>
    <row r="43" spans="1:24" ht="18" customHeight="1" x14ac:dyDescent="0.25">
      <c r="A43" s="10"/>
      <c r="B43" s="173" t="s">
        <v>231</v>
      </c>
      <c r="C43" s="174"/>
      <c r="D43" s="175"/>
      <c r="E43" s="16">
        <v>0.2</v>
      </c>
      <c r="F43" s="173" t="s">
        <v>231</v>
      </c>
      <c r="G43" s="174"/>
      <c r="H43" s="175"/>
      <c r="I43" s="16">
        <v>0.2</v>
      </c>
      <c r="J43" s="173" t="s">
        <v>231</v>
      </c>
      <c r="K43" s="175"/>
      <c r="L43" s="16">
        <v>0.2</v>
      </c>
      <c r="M43" s="12">
        <f>ROUND(IF(M36&lt;1600001,0,IF(M36&gt;2000000,80000,((M36-1600000)*0.2))),0)</f>
        <v>0</v>
      </c>
    </row>
    <row r="44" spans="1:24" ht="18" customHeight="1" x14ac:dyDescent="0.25">
      <c r="A44" s="10"/>
      <c r="B44" s="173" t="s">
        <v>232</v>
      </c>
      <c r="C44" s="174"/>
      <c r="D44" s="175"/>
      <c r="E44" s="16">
        <v>0.25</v>
      </c>
      <c r="F44" s="173" t="s">
        <v>232</v>
      </c>
      <c r="G44" s="174"/>
      <c r="H44" s="175"/>
      <c r="I44" s="16">
        <v>0.25</v>
      </c>
      <c r="J44" s="173" t="s">
        <v>232</v>
      </c>
      <c r="K44" s="175"/>
      <c r="L44" s="16">
        <v>0.25</v>
      </c>
      <c r="M44" s="12">
        <f>ROUND(IF(M36&lt;2000001,0,IF(M36&gt;2400000,100000,((M36-2000000)*0.25))),0)</f>
        <v>0</v>
      </c>
    </row>
    <row r="45" spans="1:24" ht="18" customHeight="1" x14ac:dyDescent="0.25">
      <c r="A45" s="10"/>
      <c r="B45" s="173" t="s">
        <v>233</v>
      </c>
      <c r="C45" s="174"/>
      <c r="D45" s="175"/>
      <c r="E45" s="16">
        <v>0.3</v>
      </c>
      <c r="F45" s="173" t="s">
        <v>233</v>
      </c>
      <c r="G45" s="174"/>
      <c r="H45" s="175"/>
      <c r="I45" s="16">
        <v>0.3</v>
      </c>
      <c r="J45" s="173" t="s">
        <v>233</v>
      </c>
      <c r="K45" s="175"/>
      <c r="L45" s="16">
        <v>0.3</v>
      </c>
      <c r="M45" s="12">
        <f>ROUND(IF(M36&lt;2400001,0,(M36-2400000)*0.3),0)</f>
        <v>0</v>
      </c>
    </row>
    <row r="46" spans="1:24" ht="15" customHeight="1" thickBot="1" x14ac:dyDescent="0.3">
      <c r="A46" s="10"/>
      <c r="B46" s="15">
        <v>1</v>
      </c>
      <c r="C46" s="173" t="s">
        <v>101</v>
      </c>
      <c r="D46" s="174"/>
      <c r="E46" s="174"/>
      <c r="F46" s="174"/>
      <c r="G46" s="174"/>
      <c r="H46" s="174"/>
      <c r="I46" s="174"/>
      <c r="J46" s="174"/>
      <c r="K46" s="174"/>
      <c r="L46" s="175"/>
      <c r="M46" s="12">
        <f>SUM(M39:M45)</f>
        <v>58687</v>
      </c>
    </row>
    <row r="47" spans="1:24" ht="26.25" customHeight="1" thickBot="1" x14ac:dyDescent="0.3">
      <c r="A47" s="10"/>
      <c r="B47" s="15">
        <v>2</v>
      </c>
      <c r="C47" s="239" t="s">
        <v>234</v>
      </c>
      <c r="D47" s="240"/>
      <c r="E47" s="240"/>
      <c r="F47" s="240"/>
      <c r="G47" s="241"/>
      <c r="H47" s="242">
        <f>IF(M36&gt;1200000,0,IF(M46&lt;60001,M46,60000))</f>
        <v>58687</v>
      </c>
      <c r="I47" s="243"/>
      <c r="J47" s="238" t="s">
        <v>144</v>
      </c>
      <c r="K47" s="238"/>
      <c r="L47" s="28">
        <f>IF(X50="","",X50)</f>
        <v>0</v>
      </c>
      <c r="M47" s="12">
        <f>IF(X50&gt;0,X50,IF(M36&gt;1200000,0,IF(M46&lt;60001,M46,60000)))</f>
        <v>58687</v>
      </c>
      <c r="R47" s="23"/>
      <c r="S47" s="23"/>
      <c r="T47" s="23"/>
      <c r="U47" s="23"/>
      <c r="V47" s="23"/>
      <c r="W47" s="23"/>
      <c r="X47" s="23" t="s">
        <v>135</v>
      </c>
    </row>
    <row r="48" spans="1:24" ht="19.5" thickBot="1" x14ac:dyDescent="0.35">
      <c r="A48" s="10"/>
      <c r="B48" s="15">
        <v>3</v>
      </c>
      <c r="C48" s="173" t="s">
        <v>103</v>
      </c>
      <c r="D48" s="174"/>
      <c r="E48" s="174"/>
      <c r="F48" s="174"/>
      <c r="G48" s="174"/>
      <c r="H48" s="174"/>
      <c r="I48" s="174"/>
      <c r="J48" s="174"/>
      <c r="K48" s="174"/>
      <c r="L48" s="175"/>
      <c r="M48" s="12">
        <f>M46-M47</f>
        <v>0</v>
      </c>
      <c r="R48" s="217" t="s">
        <v>136</v>
      </c>
      <c r="S48" s="218"/>
      <c r="T48" s="24">
        <f>M36</f>
        <v>1186870</v>
      </c>
      <c r="U48" s="23"/>
      <c r="V48" s="25">
        <v>1200000</v>
      </c>
      <c r="W48" s="23"/>
      <c r="X48" s="25">
        <f>IF($T$48&gt;$V$48,T48-V48,0)</f>
        <v>0</v>
      </c>
    </row>
    <row r="49" spans="1:24" ht="18.75" customHeight="1" thickBot="1" x14ac:dyDescent="0.35">
      <c r="A49" s="10"/>
      <c r="B49" s="15">
        <v>4</v>
      </c>
      <c r="C49" s="173" t="s">
        <v>104</v>
      </c>
      <c r="D49" s="174"/>
      <c r="E49" s="174"/>
      <c r="F49" s="174"/>
      <c r="G49" s="174"/>
      <c r="H49" s="174"/>
      <c r="I49" s="174"/>
      <c r="J49" s="174"/>
      <c r="K49" s="174"/>
      <c r="L49" s="175"/>
      <c r="M49" s="12">
        <f>ROUND(M48*0.04,0)</f>
        <v>0</v>
      </c>
      <c r="R49" s="217" t="s">
        <v>137</v>
      </c>
      <c r="S49" s="218"/>
      <c r="T49" s="24">
        <f>M46</f>
        <v>58687</v>
      </c>
      <c r="U49" s="23"/>
      <c r="V49" s="25">
        <v>0</v>
      </c>
      <c r="W49" s="23"/>
      <c r="X49" s="25">
        <f>IF($T$48&gt;$V$48,T49-V49,0)</f>
        <v>0</v>
      </c>
    </row>
    <row r="50" spans="1:24" ht="18.75" customHeight="1" thickBot="1" x14ac:dyDescent="0.35">
      <c r="A50" s="10"/>
      <c r="B50" s="176" t="s">
        <v>105</v>
      </c>
      <c r="C50" s="177"/>
      <c r="D50" s="177"/>
      <c r="E50" s="177"/>
      <c r="F50" s="177"/>
      <c r="G50" s="177"/>
      <c r="H50" s="177"/>
      <c r="I50" s="177"/>
      <c r="J50" s="177"/>
      <c r="K50" s="177"/>
      <c r="L50" s="178"/>
      <c r="M50" s="12">
        <f>SUM(M48:M49)</f>
        <v>0</v>
      </c>
      <c r="R50" s="217" t="s">
        <v>138</v>
      </c>
      <c r="S50" s="218"/>
      <c r="T50" s="24">
        <f>M49</f>
        <v>0</v>
      </c>
      <c r="U50" s="23"/>
      <c r="V50" s="23"/>
      <c r="W50" s="26" t="s">
        <v>139</v>
      </c>
      <c r="X50" s="25">
        <f>IF(X49&gt;X48,X49-X48,0)</f>
        <v>0</v>
      </c>
    </row>
    <row r="51" spans="1:24" ht="18.75" customHeight="1" thickBot="1" x14ac:dyDescent="0.35">
      <c r="A51" s="10">
        <v>17</v>
      </c>
      <c r="B51" s="172" t="s">
        <v>106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72"/>
      <c r="M51" s="22"/>
      <c r="R51" s="217" t="s">
        <v>140</v>
      </c>
      <c r="S51" s="218"/>
      <c r="T51" s="23"/>
      <c r="U51" s="23"/>
      <c r="V51" s="23"/>
      <c r="W51" s="23"/>
      <c r="X51" s="23"/>
    </row>
    <row r="52" spans="1:24" ht="18.75" customHeight="1" thickBot="1" x14ac:dyDescent="0.35">
      <c r="A52" s="10">
        <v>18</v>
      </c>
      <c r="B52" s="172" t="s">
        <v>107</v>
      </c>
      <c r="C52" s="172"/>
      <c r="D52" s="172"/>
      <c r="E52" s="172"/>
      <c r="F52" s="172"/>
      <c r="G52" s="172"/>
      <c r="H52" s="172"/>
      <c r="I52" s="172"/>
      <c r="J52" s="172"/>
      <c r="K52" s="172"/>
      <c r="L52" s="172"/>
      <c r="M52" s="12">
        <f>ROUND(M50-M51,-1)</f>
        <v>0</v>
      </c>
      <c r="R52" s="217" t="s">
        <v>141</v>
      </c>
      <c r="S52" s="218"/>
      <c r="T52" s="24">
        <f>SUM(T48:T51)</f>
        <v>1245557</v>
      </c>
      <c r="U52" s="23"/>
      <c r="V52" s="23"/>
      <c r="W52" s="23" t="s">
        <v>142</v>
      </c>
      <c r="X52" s="24">
        <f>T49-X50</f>
        <v>58687</v>
      </c>
    </row>
    <row r="53" spans="1:24" ht="48.75" customHeight="1" thickBot="1" x14ac:dyDescent="0.3">
      <c r="A53" s="211">
        <v>19</v>
      </c>
      <c r="B53" s="213" t="s">
        <v>108</v>
      </c>
      <c r="C53" s="213"/>
      <c r="D53" s="214" t="s">
        <v>216</v>
      </c>
      <c r="E53" s="215"/>
      <c r="F53" s="214" t="s">
        <v>217</v>
      </c>
      <c r="G53" s="215"/>
      <c r="H53" s="214" t="s">
        <v>218</v>
      </c>
      <c r="I53" s="215"/>
      <c r="J53" s="214" t="s">
        <v>219</v>
      </c>
      <c r="K53" s="215"/>
      <c r="L53" s="17" t="s">
        <v>125</v>
      </c>
      <c r="M53" s="13" t="s">
        <v>109</v>
      </c>
      <c r="R53" s="23"/>
      <c r="S53" s="23"/>
      <c r="T53" s="23"/>
      <c r="U53" s="23"/>
      <c r="V53" s="23"/>
      <c r="W53" s="23"/>
      <c r="X53" s="23"/>
    </row>
    <row r="54" spans="1:24" ht="19.5" customHeight="1" x14ac:dyDescent="0.25">
      <c r="A54" s="212"/>
      <c r="B54" s="213"/>
      <c r="C54" s="213"/>
      <c r="D54" s="246">
        <f>SUM('GA 55A'!V8:V14)</f>
        <v>7000</v>
      </c>
      <c r="E54" s="247"/>
      <c r="F54" s="246">
        <f>SUM('GA 55A'!V15:V17)</f>
        <v>3000</v>
      </c>
      <c r="G54" s="247"/>
      <c r="H54" s="246">
        <f>SUM('GA 55A'!V18)</f>
        <v>1000</v>
      </c>
      <c r="I54" s="247"/>
      <c r="J54" s="246">
        <f>SUM('GA 55A'!V19)</f>
        <v>1000</v>
      </c>
      <c r="K54" s="247"/>
      <c r="L54" s="114">
        <f>SUM('GA 55A'!$V$20:$V$27,Oth.Deductions!F21)</f>
        <v>0</v>
      </c>
      <c r="M54" s="12">
        <f>SUM(D54:L54)</f>
        <v>12000</v>
      </c>
    </row>
    <row r="55" spans="1:24" ht="20.100000000000001" customHeight="1" x14ac:dyDescent="0.25">
      <c r="A55" s="244" t="str">
        <f>IF(M52&gt;M54,"Income Tax Payable",IF(M52&lt;M54,"Income Tax Refundable","Income Tax No Need"))</f>
        <v>Income Tax Refundable</v>
      </c>
      <c r="B55" s="245"/>
      <c r="C55" s="245"/>
      <c r="D55" s="245"/>
      <c r="E55" s="245"/>
      <c r="F55" s="245"/>
      <c r="G55" s="245"/>
      <c r="H55" s="245"/>
      <c r="I55" s="245"/>
      <c r="J55" s="245"/>
      <c r="K55" s="245"/>
      <c r="L55" s="245"/>
      <c r="M55" s="12">
        <f>M52-M54</f>
        <v>-12000</v>
      </c>
    </row>
    <row r="56" spans="1:24" ht="9.75" customHeight="1" x14ac:dyDescent="0.25">
      <c r="A56" s="115"/>
      <c r="B56" s="116"/>
      <c r="C56" s="116"/>
      <c r="D56" s="116"/>
      <c r="E56" s="116"/>
      <c r="F56" s="116"/>
      <c r="G56" s="116"/>
      <c r="H56" s="116"/>
      <c r="I56" s="116"/>
      <c r="J56" s="116"/>
      <c r="K56" s="116"/>
      <c r="L56" s="116"/>
      <c r="M56" s="117"/>
    </row>
    <row r="57" spans="1:24" ht="15" customHeight="1" thickBot="1" x14ac:dyDescent="0.3">
      <c r="A57" s="208" t="s">
        <v>27</v>
      </c>
      <c r="B57" s="209"/>
      <c r="C57" s="209"/>
      <c r="D57" s="209"/>
      <c r="E57" s="216" t="s">
        <v>119</v>
      </c>
      <c r="F57" s="216"/>
      <c r="G57" s="216"/>
      <c r="H57" s="216"/>
      <c r="I57" s="216"/>
      <c r="J57" s="216"/>
      <c r="K57" s="216"/>
      <c r="L57" s="209" t="s">
        <v>28</v>
      </c>
      <c r="M57" s="210"/>
      <c r="N57" s="4"/>
    </row>
  </sheetData>
  <sheetProtection algorithmName="SHA-512" hashValue="03MN6x30olQWyMbKNvSgSW+aEpYWJIXAwMo3j/WSjr6OQFrrrcBenLV5xFTLe1QNv9HgVDgIefk/qASLdACX9Q==" saltValue="6yl9HGD1vLNyAmKD+GPlfg==" spinCount="100000" sheet="1" formatCells="0" formatColumns="0" formatRows="0" selectLockedCells="1"/>
  <mergeCells count="104">
    <mergeCell ref="E57:K57"/>
    <mergeCell ref="A55:L55"/>
    <mergeCell ref="A57:D57"/>
    <mergeCell ref="L57:M57"/>
    <mergeCell ref="C49:L49"/>
    <mergeCell ref="B50:L50"/>
    <mergeCell ref="B51:L51"/>
    <mergeCell ref="B52:L52"/>
    <mergeCell ref="A53:A54"/>
    <mergeCell ref="B53:C54"/>
    <mergeCell ref="D53:E53"/>
    <mergeCell ref="F53:G53"/>
    <mergeCell ref="H53:I53"/>
    <mergeCell ref="J53:K53"/>
    <mergeCell ref="D54:E54"/>
    <mergeCell ref="F54:G54"/>
    <mergeCell ref="H54:I54"/>
    <mergeCell ref="J54:K54"/>
    <mergeCell ref="C48:L48"/>
    <mergeCell ref="B43:D43"/>
    <mergeCell ref="F43:H43"/>
    <mergeCell ref="J43:K43"/>
    <mergeCell ref="F44:H44"/>
    <mergeCell ref="B44:D44"/>
    <mergeCell ref="J44:K44"/>
    <mergeCell ref="C46:L46"/>
    <mergeCell ref="J47:K47"/>
    <mergeCell ref="C47:G47"/>
    <mergeCell ref="H47:I47"/>
    <mergeCell ref="B45:D45"/>
    <mergeCell ref="F45:H45"/>
    <mergeCell ref="J45:K45"/>
    <mergeCell ref="B41:D41"/>
    <mergeCell ref="F41:H41"/>
    <mergeCell ref="J41:K41"/>
    <mergeCell ref="B42:D42"/>
    <mergeCell ref="F42:H42"/>
    <mergeCell ref="J42:K42"/>
    <mergeCell ref="B39:D39"/>
    <mergeCell ref="F39:H39"/>
    <mergeCell ref="J39:K39"/>
    <mergeCell ref="B40:D40"/>
    <mergeCell ref="F40:H40"/>
    <mergeCell ref="J40:K40"/>
    <mergeCell ref="B38:E38"/>
    <mergeCell ref="F38:I38"/>
    <mergeCell ref="J38:L38"/>
    <mergeCell ref="C28:L28"/>
    <mergeCell ref="C29:L29"/>
    <mergeCell ref="C30:L30"/>
    <mergeCell ref="C31:L31"/>
    <mergeCell ref="C32:L32"/>
    <mergeCell ref="B33:L33"/>
    <mergeCell ref="B34:L34"/>
    <mergeCell ref="B35:L35"/>
    <mergeCell ref="B36:L36"/>
    <mergeCell ref="B37:L37"/>
    <mergeCell ref="C27:L27"/>
    <mergeCell ref="B16:L16"/>
    <mergeCell ref="B17:L17"/>
    <mergeCell ref="B18:L18"/>
    <mergeCell ref="B19:M19"/>
    <mergeCell ref="B20:L20"/>
    <mergeCell ref="B21:L21"/>
    <mergeCell ref="B22:L22"/>
    <mergeCell ref="B23:L23"/>
    <mergeCell ref="B24:L24"/>
    <mergeCell ref="C25:L25"/>
    <mergeCell ref="C26:L26"/>
    <mergeCell ref="B15:L15"/>
    <mergeCell ref="B11:L11"/>
    <mergeCell ref="A12:A15"/>
    <mergeCell ref="B12:G12"/>
    <mergeCell ref="H12:J12"/>
    <mergeCell ref="K12:L12"/>
    <mergeCell ref="J13:L13"/>
    <mergeCell ref="D14:E14"/>
    <mergeCell ref="F14:G14"/>
    <mergeCell ref="H14:I14"/>
    <mergeCell ref="J14:L14"/>
    <mergeCell ref="R51:S51"/>
    <mergeCell ref="R52:S52"/>
    <mergeCell ref="B4:L4"/>
    <mergeCell ref="A1:M1"/>
    <mergeCell ref="A2:M2"/>
    <mergeCell ref="B3:C3"/>
    <mergeCell ref="D3:H3"/>
    <mergeCell ref="J3:K3"/>
    <mergeCell ref="R48:S48"/>
    <mergeCell ref="R49:S49"/>
    <mergeCell ref="R50:S50"/>
    <mergeCell ref="M12:M14"/>
    <mergeCell ref="B13:C14"/>
    <mergeCell ref="D13:E13"/>
    <mergeCell ref="F13:G13"/>
    <mergeCell ref="H13:I13"/>
    <mergeCell ref="B5:L5"/>
    <mergeCell ref="B6:L6"/>
    <mergeCell ref="A7:A10"/>
    <mergeCell ref="B7:K7"/>
    <mergeCell ref="M7:M9"/>
    <mergeCell ref="B8:K8"/>
    <mergeCell ref="B9:K9"/>
    <mergeCell ref="B10:L10"/>
  </mergeCells>
  <printOptions horizontalCentered="1"/>
  <pageMargins left="0.39370078740157499" right="0.39370078740157499" top="0.39370078740157499" bottom="0.39370078740157499" header="0" footer="0"/>
  <pageSetup paperSize="9" scale="84" orientation="portrait" r:id="rId1"/>
  <headerFooter>
    <oddFooter>&amp;Cwww.ashwinisharma.com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Master</vt:lpstr>
      <vt:lpstr>GA 55A</vt:lpstr>
      <vt:lpstr>Oth.Deductions</vt:lpstr>
      <vt:lpstr>HRA Cal.</vt:lpstr>
      <vt:lpstr>Tax Calculaton Old</vt:lpstr>
      <vt:lpstr>Tax Calculaton New</vt:lpstr>
      <vt:lpstr>'GA 55A'!Print_Area</vt:lpstr>
      <vt:lpstr>'Tax Calculaton New'!Print_Area</vt:lpstr>
      <vt:lpstr>'Tax Calculaton Old'!Print_Area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Ashwini Kumar</cp:lastModifiedBy>
  <cp:lastPrinted>2024-10-25T15:14:07Z</cp:lastPrinted>
  <dcterms:created xsi:type="dcterms:W3CDTF">2020-12-13T02:33:34Z</dcterms:created>
  <dcterms:modified xsi:type="dcterms:W3CDTF">2025-12-06T15:00:04Z</dcterms:modified>
</cp:coreProperties>
</file>